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P 2025\PPTO INGRESOS 2025\"/>
    </mc:Choice>
  </mc:AlternateContent>
  <xr:revisionPtr revIDLastSave="0" documentId="13_ncr:1_{34F2FDC3-BB60-404C-BCDF-41EE59B1C853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INGRESOS REALES " sheetId="4" state="hidden" r:id="rId1"/>
    <sheet name="CONAC  (2)" sheetId="8" state="hidden" r:id="rId2"/>
    <sheet name="INGRESOS REALES 2024" sheetId="10" r:id="rId3"/>
    <sheet name="CONAC " sheetId="5" state="hidden" r:id="rId4"/>
    <sheet name="LDF F7a)" sheetId="6" state="hidden" r:id="rId5"/>
    <sheet name="LDF-F7c)" sheetId="7" state="hidden" r:id="rId6"/>
  </sheets>
  <definedNames>
    <definedName name="Print_Titles" localSheetId="3">'CONAC '!$7:$7</definedName>
    <definedName name="Print_Titles" localSheetId="1">'CONAC  (2)'!$7:$7</definedName>
  </definedNames>
  <calcPr calcId="181029"/>
</workbook>
</file>

<file path=xl/calcChain.xml><?xml version="1.0" encoding="utf-8"?>
<calcChain xmlns="http://schemas.openxmlformats.org/spreadsheetml/2006/main">
  <c r="D76" i="10" l="1"/>
  <c r="D77" i="10"/>
  <c r="D86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G27" i="8"/>
  <c r="N82" i="8"/>
  <c r="L80" i="8"/>
  <c r="L79" i="8"/>
  <c r="L78" i="8"/>
  <c r="F69" i="8"/>
  <c r="D69" i="8"/>
  <c r="G69" i="8" s="1"/>
  <c r="G66" i="8" s="1"/>
  <c r="F68" i="8"/>
  <c r="D68" i="8"/>
  <c r="F67" i="8"/>
  <c r="D67" i="8"/>
  <c r="E66" i="8"/>
  <c r="F65" i="8"/>
  <c r="D65" i="8"/>
  <c r="G65" i="8" s="1"/>
  <c r="G64" i="8"/>
  <c r="F64" i="8"/>
  <c r="D64" i="8"/>
  <c r="F63" i="8"/>
  <c r="D63" i="8"/>
  <c r="G63" i="8" s="1"/>
  <c r="F62" i="8"/>
  <c r="D62" i="8"/>
  <c r="G62" i="8" s="1"/>
  <c r="F61" i="8"/>
  <c r="D61" i="8"/>
  <c r="G61" i="8" s="1"/>
  <c r="F60" i="8"/>
  <c r="D60" i="8"/>
  <c r="G60" i="8" s="1"/>
  <c r="F59" i="8"/>
  <c r="D59" i="8"/>
  <c r="G59" i="8" s="1"/>
  <c r="E58" i="8"/>
  <c r="L57" i="8"/>
  <c r="F57" i="8"/>
  <c r="D57" i="8"/>
  <c r="G57" i="8" s="1"/>
  <c r="L56" i="8"/>
  <c r="F56" i="8"/>
  <c r="D56" i="8"/>
  <c r="G56" i="8" s="1"/>
  <c r="F55" i="8"/>
  <c r="F54" i="8"/>
  <c r="G53" i="8"/>
  <c r="F53" i="8"/>
  <c r="L52" i="8"/>
  <c r="E52" i="8"/>
  <c r="L51" i="8"/>
  <c r="F51" i="8"/>
  <c r="F42" i="8" s="1"/>
  <c r="D51" i="8"/>
  <c r="D42" i="8" s="1"/>
  <c r="F50" i="8"/>
  <c r="D50" i="8"/>
  <c r="G50" i="8" s="1"/>
  <c r="F49" i="8"/>
  <c r="D49" i="8"/>
  <c r="G49" i="8" s="1"/>
  <c r="F48" i="8"/>
  <c r="D48" i="8"/>
  <c r="G48" i="8" s="1"/>
  <c r="F47" i="8"/>
  <c r="D47" i="8"/>
  <c r="G47" i="8" s="1"/>
  <c r="G46" i="8"/>
  <c r="F46" i="8"/>
  <c r="D46" i="8"/>
  <c r="F45" i="8"/>
  <c r="D45" i="8"/>
  <c r="G45" i="8" s="1"/>
  <c r="F44" i="8"/>
  <c r="D44" i="8"/>
  <c r="G44" i="8" s="1"/>
  <c r="G43" i="8"/>
  <c r="F43" i="8"/>
  <c r="D43" i="8"/>
  <c r="L42" i="8"/>
  <c r="E42" i="8"/>
  <c r="F41" i="8"/>
  <c r="F37" i="8" s="1"/>
  <c r="D41" i="8"/>
  <c r="G41" i="8" s="1"/>
  <c r="F40" i="8"/>
  <c r="D40" i="8"/>
  <c r="G39" i="8"/>
  <c r="F39" i="8"/>
  <c r="F38" i="8"/>
  <c r="E37" i="8"/>
  <c r="F36" i="8"/>
  <c r="F35" i="8"/>
  <c r="D35" i="8"/>
  <c r="G35" i="8" s="1"/>
  <c r="F34" i="8"/>
  <c r="D34" i="8"/>
  <c r="G34" i="8" s="1"/>
  <c r="G33" i="8"/>
  <c r="F33" i="8"/>
  <c r="E32" i="8"/>
  <c r="F31" i="8"/>
  <c r="F30" i="8"/>
  <c r="D30" i="8"/>
  <c r="G30" i="8" s="1"/>
  <c r="F29" i="8"/>
  <c r="F28" i="8"/>
  <c r="F27" i="8"/>
  <c r="F26" i="8"/>
  <c r="D26" i="8"/>
  <c r="G26" i="8" s="1"/>
  <c r="G23" i="8" s="1"/>
  <c r="F25" i="8"/>
  <c r="F24" i="8"/>
  <c r="E23" i="8"/>
  <c r="F22" i="8"/>
  <c r="D22" i="8"/>
  <c r="G22" i="8" s="1"/>
  <c r="G20" i="8" s="1"/>
  <c r="F21" i="8"/>
  <c r="D21" i="8"/>
  <c r="E20" i="8"/>
  <c r="F19" i="8"/>
  <c r="L18" i="8"/>
  <c r="G18" i="8"/>
  <c r="F18" i="8"/>
  <c r="D18" i="8"/>
  <c r="F17" i="8"/>
  <c r="D17" i="8"/>
  <c r="G17" i="8" s="1"/>
  <c r="F16" i="8"/>
  <c r="L15" i="8"/>
  <c r="F15" i="8"/>
  <c r="D15" i="8"/>
  <c r="G15" i="8" s="1"/>
  <c r="F14" i="8"/>
  <c r="D14" i="8"/>
  <c r="G14" i="8" s="1"/>
  <c r="F13" i="8"/>
  <c r="D13" i="8"/>
  <c r="D9" i="8" s="1"/>
  <c r="G12" i="8"/>
  <c r="F12" i="8"/>
  <c r="D12" i="8"/>
  <c r="F11" i="8"/>
  <c r="F10" i="8"/>
  <c r="E9" i="8"/>
  <c r="H8" i="8"/>
  <c r="E8" i="8"/>
  <c r="P8" i="5"/>
  <c r="C88" i="10" l="1"/>
  <c r="G13" i="8"/>
  <c r="F20" i="8"/>
  <c r="G32" i="8"/>
  <c r="F52" i="8"/>
  <c r="F9" i="8"/>
  <c r="G51" i="8"/>
  <c r="G42" i="8" s="1"/>
  <c r="F58" i="8"/>
  <c r="D37" i="8"/>
  <c r="L53" i="8"/>
  <c r="D52" i="8"/>
  <c r="F66" i="8"/>
  <c r="F32" i="8"/>
  <c r="F23" i="8"/>
  <c r="D66" i="8"/>
  <c r="F8" i="8"/>
  <c r="G9" i="8"/>
  <c r="G8" i="8" s="1"/>
  <c r="G58" i="8"/>
  <c r="G52" i="8"/>
  <c r="D20" i="8"/>
  <c r="D58" i="8"/>
  <c r="G40" i="8"/>
  <c r="G37" i="8" s="1"/>
  <c r="D32" i="8"/>
  <c r="D23" i="8"/>
  <c r="H8" i="5"/>
  <c r="G53" i="5"/>
  <c r="L42" i="5"/>
  <c r="L52" i="5"/>
  <c r="L53" i="5" s="1"/>
  <c r="L51" i="5"/>
  <c r="L56" i="5"/>
  <c r="L57" i="5" s="1"/>
  <c r="G38" i="5"/>
  <c r="G33" i="5"/>
  <c r="G27" i="5"/>
  <c r="L15" i="5"/>
  <c r="D8" i="8" l="1"/>
  <c r="L18" i="5"/>
  <c r="L78" i="5"/>
  <c r="L80" i="5" s="1"/>
  <c r="L79" i="5"/>
  <c r="G25" i="7"/>
  <c r="F29" i="7"/>
  <c r="F25" i="7"/>
  <c r="F22" i="7"/>
  <c r="C27" i="6"/>
  <c r="C26" i="6"/>
  <c r="C25" i="6"/>
  <c r="C23" i="6"/>
  <c r="C22" i="6"/>
  <c r="C29" i="6"/>
  <c r="E9" i="5"/>
  <c r="F12" i="5"/>
  <c r="F13" i="5"/>
  <c r="F14" i="5"/>
  <c r="F15" i="5"/>
  <c r="F17" i="5"/>
  <c r="F18" i="5"/>
  <c r="F19" i="5"/>
  <c r="E20" i="5"/>
  <c r="F22" i="5"/>
  <c r="E23" i="5"/>
  <c r="F25" i="5"/>
  <c r="F26" i="5"/>
  <c r="F30" i="5"/>
  <c r="F31" i="5"/>
  <c r="E32" i="5"/>
  <c r="F34" i="5"/>
  <c r="F35" i="5"/>
  <c r="F36" i="5"/>
  <c r="E37" i="5"/>
  <c r="F40" i="5"/>
  <c r="F41" i="5"/>
  <c r="E42" i="5"/>
  <c r="F43" i="5"/>
  <c r="F44" i="5"/>
  <c r="F45" i="5"/>
  <c r="F46" i="5"/>
  <c r="F47" i="5"/>
  <c r="F48" i="5"/>
  <c r="F49" i="5"/>
  <c r="F50" i="5"/>
  <c r="F51" i="5"/>
  <c r="F42" i="5" s="1"/>
  <c r="E52" i="5"/>
  <c r="F56" i="5"/>
  <c r="F57" i="5"/>
  <c r="E58" i="5"/>
  <c r="F59" i="5"/>
  <c r="F60" i="5"/>
  <c r="F61" i="5"/>
  <c r="F62" i="5"/>
  <c r="F63" i="5"/>
  <c r="F64" i="5"/>
  <c r="F65" i="5"/>
  <c r="E66" i="5"/>
  <c r="F67" i="5"/>
  <c r="F68" i="5"/>
  <c r="F69" i="5"/>
  <c r="F66" i="5" l="1"/>
  <c r="E8" i="5"/>
  <c r="F58" i="5"/>
  <c r="P49" i="4"/>
  <c r="O49" i="4"/>
  <c r="K49" i="4"/>
  <c r="P62" i="4"/>
  <c r="P18" i="4" l="1"/>
  <c r="P21" i="4"/>
  <c r="P10" i="4"/>
  <c r="Q10" i="4" s="1"/>
  <c r="R10" i="4" s="1"/>
  <c r="P9" i="4"/>
  <c r="O9" i="4"/>
  <c r="Q9" i="4" s="1"/>
  <c r="R9" i="4" s="1"/>
  <c r="P5" i="4"/>
  <c r="O5" i="4"/>
  <c r="Q5" i="4" s="1"/>
  <c r="H41" i="4"/>
  <c r="K38" i="4"/>
  <c r="J38" i="4"/>
  <c r="Q35" i="4"/>
  <c r="R35" i="4" s="1"/>
  <c r="Q33" i="4"/>
  <c r="Q30" i="4"/>
  <c r="R30" i="4" s="1"/>
  <c r="Q28" i="4"/>
  <c r="L17" i="4"/>
  <c r="O17" i="4" s="1"/>
  <c r="P15" i="4"/>
  <c r="P25" i="4"/>
  <c r="P24" i="4"/>
  <c r="P23" i="4"/>
  <c r="P22" i="4"/>
  <c r="P19" i="4"/>
  <c r="Q19" i="4" s="1"/>
  <c r="R19" i="4" s="1"/>
  <c r="P16" i="4"/>
  <c r="O15" i="4"/>
  <c r="O16" i="4"/>
  <c r="O18" i="4"/>
  <c r="O19" i="4"/>
  <c r="O21" i="4"/>
  <c r="O22" i="4"/>
  <c r="O23" i="4"/>
  <c r="Q23" i="4" s="1"/>
  <c r="R23" i="4" s="1"/>
  <c r="O24" i="4"/>
  <c r="Q24" i="4" s="1"/>
  <c r="O25" i="4"/>
  <c r="Q25" i="4" s="1"/>
  <c r="R25" i="4" s="1"/>
  <c r="O14" i="4"/>
  <c r="Q20" i="4"/>
  <c r="R20" i="4" s="1"/>
  <c r="Q16" i="4"/>
  <c r="R16" i="4" s="1"/>
  <c r="Q65" i="4"/>
  <c r="Q64" i="4"/>
  <c r="Q62" i="4"/>
  <c r="R62" i="4" s="1"/>
  <c r="Q61" i="4"/>
  <c r="R61" i="4" s="1"/>
  <c r="Q60" i="4"/>
  <c r="R60" i="4" s="1"/>
  <c r="Q59" i="4"/>
  <c r="R59" i="4" s="1"/>
  <c r="Q58" i="4"/>
  <c r="R58" i="4" s="1"/>
  <c r="Q57" i="4"/>
  <c r="R57" i="4" s="1"/>
  <c r="Q56" i="4"/>
  <c r="R56" i="4" s="1"/>
  <c r="Q55" i="4"/>
  <c r="R55" i="4" s="1"/>
  <c r="Q54" i="4"/>
  <c r="R54" i="4" s="1"/>
  <c r="Q53" i="4"/>
  <c r="R53" i="4" s="1"/>
  <c r="Q52" i="4"/>
  <c r="R52" i="4" s="1"/>
  <c r="Q51" i="4"/>
  <c r="R51" i="4" s="1"/>
  <c r="Q50" i="4"/>
  <c r="R50" i="4" s="1"/>
  <c r="Q49" i="4"/>
  <c r="R49" i="4" s="1"/>
  <c r="Q48" i="4"/>
  <c r="R48" i="4" s="1"/>
  <c r="Q47" i="4"/>
  <c r="Q46" i="4"/>
  <c r="R46" i="4" s="1"/>
  <c r="Q45" i="4"/>
  <c r="Q44" i="4"/>
  <c r="R44" i="4" s="1"/>
  <c r="Q43" i="4"/>
  <c r="R43" i="4" s="1"/>
  <c r="Q42" i="4"/>
  <c r="R42" i="4" s="1"/>
  <c r="Q41" i="4"/>
  <c r="R41" i="4" s="1"/>
  <c r="Q40" i="4"/>
  <c r="R40" i="4" s="1"/>
  <c r="Q39" i="4"/>
  <c r="R39" i="4" s="1"/>
  <c r="Q38" i="4"/>
  <c r="Q36" i="4"/>
  <c r="R36" i="4" s="1"/>
  <c r="Q34" i="4"/>
  <c r="R34" i="4" s="1"/>
  <c r="Q31" i="4"/>
  <c r="R31" i="4" s="1"/>
  <c r="Q29" i="4"/>
  <c r="R29" i="4" s="1"/>
  <c r="Q27" i="4"/>
  <c r="Q12" i="4"/>
  <c r="Q6" i="4"/>
  <c r="R6" i="4" s="1"/>
  <c r="Q7" i="4"/>
  <c r="Q8" i="4"/>
  <c r="R8" i="4" s="1"/>
  <c r="Q4" i="4"/>
  <c r="F16" i="5" l="1"/>
  <c r="R5" i="4"/>
  <c r="F24" i="5"/>
  <c r="R24" i="4"/>
  <c r="D21" i="5"/>
  <c r="F21" i="5"/>
  <c r="F20" i="5" s="1"/>
  <c r="R12" i="4"/>
  <c r="R11" i="4" s="1"/>
  <c r="B17" i="6" s="1"/>
  <c r="C17" i="6" s="1"/>
  <c r="F33" i="5"/>
  <c r="F32" i="5" s="1"/>
  <c r="R27" i="4"/>
  <c r="F39" i="5"/>
  <c r="R28" i="4"/>
  <c r="R26" i="4" s="1"/>
  <c r="B19" i="6" s="1"/>
  <c r="C19" i="6" s="1"/>
  <c r="F38" i="5"/>
  <c r="F37" i="5" s="1"/>
  <c r="R33" i="4"/>
  <c r="R32" i="4" s="1"/>
  <c r="B20" i="6" s="1"/>
  <c r="C20" i="6" s="1"/>
  <c r="F11" i="5"/>
  <c r="R4" i="4"/>
  <c r="R3" i="4"/>
  <c r="F10" i="5"/>
  <c r="R7" i="4"/>
  <c r="R45" i="4"/>
  <c r="F55" i="5"/>
  <c r="P17" i="4"/>
  <c r="Q17" i="4" s="1"/>
  <c r="R38" i="4"/>
  <c r="S37" i="4" s="1"/>
  <c r="F53" i="5"/>
  <c r="R47" i="4"/>
  <c r="F54" i="5"/>
  <c r="Q15" i="4"/>
  <c r="Q18" i="4"/>
  <c r="R18" i="4" s="1"/>
  <c r="Q22" i="4"/>
  <c r="R22" i="4" s="1"/>
  <c r="Q21" i="4"/>
  <c r="R21" i="4" s="1"/>
  <c r="Q14" i="4"/>
  <c r="G37" i="4"/>
  <c r="E3" i="4"/>
  <c r="F63" i="4"/>
  <c r="G63" i="4"/>
  <c r="H63" i="4"/>
  <c r="I63" i="4"/>
  <c r="J63" i="4"/>
  <c r="K63" i="4"/>
  <c r="L63" i="4"/>
  <c r="M63" i="4"/>
  <c r="N63" i="4"/>
  <c r="O63" i="4"/>
  <c r="P63" i="4"/>
  <c r="E63" i="4"/>
  <c r="F11" i="4"/>
  <c r="G11" i="4"/>
  <c r="H11" i="4"/>
  <c r="I11" i="4"/>
  <c r="J11" i="4"/>
  <c r="K11" i="4"/>
  <c r="L11" i="4"/>
  <c r="M11" i="4"/>
  <c r="N11" i="4"/>
  <c r="O11" i="4"/>
  <c r="P11" i="4"/>
  <c r="Q11" i="4"/>
  <c r="E11" i="4"/>
  <c r="F52" i="5" l="1"/>
  <c r="F9" i="5"/>
  <c r="F28" i="5"/>
  <c r="R17" i="4"/>
  <c r="F29" i="5"/>
  <c r="R14" i="4"/>
  <c r="R13" i="4" s="1"/>
  <c r="B18" i="6" s="1"/>
  <c r="C18" i="6" s="1"/>
  <c r="R37" i="4"/>
  <c r="R67" i="4" s="1"/>
  <c r="F27" i="5"/>
  <c r="F23" i="5" s="1"/>
  <c r="F8" i="5" s="1"/>
  <c r="R15" i="4"/>
  <c r="G29" i="7"/>
  <c r="G39" i="5" l="1"/>
  <c r="F23" i="7" l="1"/>
  <c r="D69" i="5"/>
  <c r="G69" i="5" s="1"/>
  <c r="D68" i="5"/>
  <c r="D67" i="5"/>
  <c r="D65" i="5"/>
  <c r="G65" i="5" s="1"/>
  <c r="D64" i="5"/>
  <c r="G64" i="5" s="1"/>
  <c r="D63" i="5"/>
  <c r="G63" i="5" s="1"/>
  <c r="D62" i="5"/>
  <c r="G62" i="5" s="1"/>
  <c r="D61" i="5"/>
  <c r="G61" i="5" s="1"/>
  <c r="D60" i="5"/>
  <c r="G60" i="5" s="1"/>
  <c r="D59" i="5"/>
  <c r="G59" i="5" s="1"/>
  <c r="D57" i="5"/>
  <c r="G57" i="5" s="1"/>
  <c r="D56" i="5"/>
  <c r="G56" i="5" s="1"/>
  <c r="E22" i="6"/>
  <c r="D51" i="5"/>
  <c r="D50" i="5"/>
  <c r="G50" i="5" s="1"/>
  <c r="D49" i="5"/>
  <c r="G49" i="5" s="1"/>
  <c r="D48" i="5"/>
  <c r="G48" i="5" s="1"/>
  <c r="D47" i="5"/>
  <c r="G47" i="5" s="1"/>
  <c r="D46" i="5"/>
  <c r="G46" i="5" s="1"/>
  <c r="D45" i="5"/>
  <c r="G45" i="5" s="1"/>
  <c r="D44" i="5"/>
  <c r="G44" i="5" s="1"/>
  <c r="D43" i="5"/>
  <c r="G43" i="5" s="1"/>
  <c r="D41" i="5"/>
  <c r="G41" i="5" s="1"/>
  <c r="D40" i="5"/>
  <c r="G40" i="5" s="1"/>
  <c r="G37" i="5" s="1"/>
  <c r="D35" i="5"/>
  <c r="G35" i="5" s="1"/>
  <c r="D34" i="5"/>
  <c r="G34" i="5" s="1"/>
  <c r="D30" i="5"/>
  <c r="G30" i="5" s="1"/>
  <c r="D26" i="5"/>
  <c r="G26" i="5" s="1"/>
  <c r="D22" i="5"/>
  <c r="G22" i="5" s="1"/>
  <c r="D18" i="5"/>
  <c r="G18" i="5" s="1"/>
  <c r="D17" i="5"/>
  <c r="G17" i="5" s="1"/>
  <c r="D15" i="5"/>
  <c r="G15" i="5" s="1"/>
  <c r="D14" i="5"/>
  <c r="G14" i="5" s="1"/>
  <c r="D13" i="5"/>
  <c r="G13" i="5" s="1"/>
  <c r="D12" i="5"/>
  <c r="G21" i="7"/>
  <c r="G46" i="7"/>
  <c r="E46" i="7"/>
  <c r="D46" i="7"/>
  <c r="C46" i="7"/>
  <c r="B46" i="7"/>
  <c r="G36" i="7"/>
  <c r="C36" i="7"/>
  <c r="B36" i="7"/>
  <c r="C34" i="7"/>
  <c r="D34" i="7" s="1"/>
  <c r="C33" i="7"/>
  <c r="D33" i="7" s="1"/>
  <c r="C32" i="7"/>
  <c r="D32" i="7" s="1"/>
  <c r="C31" i="7"/>
  <c r="D31" i="7" s="1"/>
  <c r="C30" i="7"/>
  <c r="B28" i="7"/>
  <c r="C26" i="7"/>
  <c r="D21" i="7"/>
  <c r="B13" i="7"/>
  <c r="G46" i="6"/>
  <c r="F46" i="6"/>
  <c r="E46" i="6"/>
  <c r="D46" i="6"/>
  <c r="C46" i="6"/>
  <c r="B46" i="6"/>
  <c r="C36" i="6"/>
  <c r="B36" i="6"/>
  <c r="C34" i="6"/>
  <c r="E34" i="6" s="1"/>
  <c r="F34" i="6" s="1"/>
  <c r="G34" i="6" s="1"/>
  <c r="E33" i="6"/>
  <c r="F33" i="6" s="1"/>
  <c r="G33" i="6" s="1"/>
  <c r="C33" i="6"/>
  <c r="E32" i="6"/>
  <c r="F32" i="6" s="1"/>
  <c r="G32" i="6" s="1"/>
  <c r="C32" i="6"/>
  <c r="C31" i="6"/>
  <c r="E31" i="6" s="1"/>
  <c r="F31" i="6" s="1"/>
  <c r="G31" i="6" s="1"/>
  <c r="C30" i="6"/>
  <c r="E30" i="6" s="1"/>
  <c r="F30" i="6" s="1"/>
  <c r="E26" i="6"/>
  <c r="E24" i="6"/>
  <c r="E23" i="6"/>
  <c r="E21" i="6"/>
  <c r="F21" i="6" s="1"/>
  <c r="E18" i="6"/>
  <c r="E17" i="6"/>
  <c r="G12" i="5" l="1"/>
  <c r="G32" i="5"/>
  <c r="G19" i="7" s="1"/>
  <c r="G20" i="7"/>
  <c r="G23" i="5"/>
  <c r="F26" i="7"/>
  <c r="G26" i="7"/>
  <c r="G51" i="5"/>
  <c r="G42" i="5" s="1"/>
  <c r="G20" i="5"/>
  <c r="G17" i="7" s="1"/>
  <c r="D52" i="5"/>
  <c r="G58" i="5"/>
  <c r="G66" i="5"/>
  <c r="F24" i="7"/>
  <c r="C28" i="6"/>
  <c r="B28" i="6"/>
  <c r="E25" i="6"/>
  <c r="G28" i="7"/>
  <c r="B39" i="7"/>
  <c r="D13" i="7"/>
  <c r="E28" i="7"/>
  <c r="D28" i="7"/>
  <c r="E13" i="7"/>
  <c r="C28" i="7"/>
  <c r="C13" i="7"/>
  <c r="G21" i="6"/>
  <c r="G13" i="6" s="1"/>
  <c r="F13" i="6"/>
  <c r="E29" i="6"/>
  <c r="E28" i="6" s="1"/>
  <c r="D28" i="6"/>
  <c r="F28" i="6"/>
  <c r="G30" i="6"/>
  <c r="G28" i="6" s="1"/>
  <c r="D13" i="6"/>
  <c r="E15" i="6"/>
  <c r="G18" i="7" l="1"/>
  <c r="G52" i="5"/>
  <c r="G22" i="7"/>
  <c r="D39" i="6"/>
  <c r="C39" i="7"/>
  <c r="D39" i="7"/>
  <c r="E39" i="7"/>
  <c r="G39" i="6"/>
  <c r="F39" i="6"/>
  <c r="D66" i="5" l="1"/>
  <c r="D58" i="5"/>
  <c r="D42" i="5"/>
  <c r="B21" i="6" s="1"/>
  <c r="C21" i="6" s="1"/>
  <c r="D37" i="5"/>
  <c r="F20" i="7" s="1"/>
  <c r="D32" i="5"/>
  <c r="F19" i="7" s="1"/>
  <c r="D23" i="5"/>
  <c r="F18" i="7" s="1"/>
  <c r="D20" i="5"/>
  <c r="F17" i="7" s="1"/>
  <c r="Q63" i="4"/>
  <c r="N37" i="4"/>
  <c r="M37" i="4"/>
  <c r="L37" i="4"/>
  <c r="K37" i="4"/>
  <c r="J37" i="4"/>
  <c r="I37" i="4"/>
  <c r="H37" i="4"/>
  <c r="F37" i="4"/>
  <c r="E37" i="4"/>
  <c r="O32" i="4"/>
  <c r="N32" i="4"/>
  <c r="M32" i="4"/>
  <c r="L32" i="4"/>
  <c r="K32" i="4"/>
  <c r="J32" i="4"/>
  <c r="I32" i="4"/>
  <c r="H32" i="4"/>
  <c r="G32" i="4"/>
  <c r="F32" i="4"/>
  <c r="E32" i="4"/>
  <c r="N26" i="4"/>
  <c r="M26" i="4"/>
  <c r="L26" i="4"/>
  <c r="K26" i="4"/>
  <c r="J26" i="4"/>
  <c r="I26" i="4"/>
  <c r="H26" i="4"/>
  <c r="G26" i="4"/>
  <c r="F26" i="4"/>
  <c r="E26" i="4"/>
  <c r="P13" i="4"/>
  <c r="O13" i="4"/>
  <c r="N13" i="4"/>
  <c r="M13" i="4"/>
  <c r="L13" i="4"/>
  <c r="K13" i="4"/>
  <c r="J13" i="4"/>
  <c r="I13" i="4"/>
  <c r="H13" i="4"/>
  <c r="G13" i="4"/>
  <c r="F13" i="4"/>
  <c r="E13" i="4"/>
  <c r="P3" i="4"/>
  <c r="O3" i="4"/>
  <c r="N3" i="4"/>
  <c r="M3" i="4"/>
  <c r="L3" i="4"/>
  <c r="K3" i="4"/>
  <c r="J3" i="4"/>
  <c r="I3" i="4"/>
  <c r="H3" i="4"/>
  <c r="G3" i="4"/>
  <c r="F3" i="4"/>
  <c r="Q3" i="4" s="1"/>
  <c r="G67" i="4" l="1"/>
  <c r="K67" i="4"/>
  <c r="H67" i="4"/>
  <c r="L67" i="4"/>
  <c r="I67" i="4"/>
  <c r="M67" i="4"/>
  <c r="F67" i="4"/>
  <c r="J67" i="4"/>
  <c r="N67" i="4"/>
  <c r="Q13" i="4"/>
  <c r="P26" i="4"/>
  <c r="E19" i="6"/>
  <c r="B24" i="6"/>
  <c r="C24" i="6" s="1"/>
  <c r="G24" i="7"/>
  <c r="E20" i="6"/>
  <c r="F28" i="7"/>
  <c r="P32" i="4"/>
  <c r="Q32" i="4" s="1"/>
  <c r="O37" i="4"/>
  <c r="E67" i="4"/>
  <c r="O26" i="4"/>
  <c r="Q26" i="4" s="1"/>
  <c r="E16" i="6" l="1"/>
  <c r="E13" i="6" s="1"/>
  <c r="E39" i="6" s="1"/>
  <c r="C16" i="6"/>
  <c r="P37" i="4"/>
  <c r="O67" i="4"/>
  <c r="P67" i="4" l="1"/>
  <c r="Q37" i="4"/>
  <c r="Q67" i="4" l="1"/>
  <c r="D9" i="5" l="1"/>
  <c r="D8" i="5" s="1"/>
  <c r="G9" i="5"/>
  <c r="B15" i="6" l="1"/>
  <c r="G8" i="5"/>
  <c r="F15" i="7"/>
  <c r="F13" i="7" s="1"/>
  <c r="F39" i="7" s="1"/>
  <c r="G15" i="7"/>
  <c r="G13" i="7" s="1"/>
  <c r="G39" i="7" s="1"/>
  <c r="C15" i="6" l="1"/>
  <c r="C13" i="6" s="1"/>
  <c r="C39" i="6" s="1"/>
  <c r="B13" i="6"/>
  <c r="B39" i="6" s="1"/>
</calcChain>
</file>

<file path=xl/sharedStrings.xml><?xml version="1.0" encoding="utf-8"?>
<sst xmlns="http://schemas.openxmlformats.org/spreadsheetml/2006/main" count="718" uniqueCount="405">
  <si>
    <t>Número</t>
  </si>
  <si>
    <t>Descripción</t>
  </si>
  <si>
    <t>APROVECHAMIENTOS</t>
  </si>
  <si>
    <t>CONTRIBUCIONES DE MEJORAS</t>
  </si>
  <si>
    <t xml:space="preserve">   Contribuciones de mejoras por Obras Públicas</t>
  </si>
  <si>
    <t>DERECHOS</t>
  </si>
  <si>
    <t>IMPUESTOS</t>
  </si>
  <si>
    <t>INGRESOS DERIVADOS DE FINANCIAMIENTO</t>
  </si>
  <si>
    <t xml:space="preserve">   Endeudamiento Externo</t>
  </si>
  <si>
    <t xml:space="preserve">   Endeudamiento Interno</t>
  </si>
  <si>
    <t>PARTICIPACIONES Y APORTACIONES</t>
  </si>
  <si>
    <t xml:space="preserve">   Control Vehicular</t>
  </si>
  <si>
    <t xml:space="preserve">   Derechos de Alcoholes</t>
  </si>
  <si>
    <t xml:space="preserve">   Devolución de ISR participable</t>
  </si>
  <si>
    <t xml:space="preserve">   FISM Aportación Federal</t>
  </si>
  <si>
    <t xml:space="preserve">   Fondo de Compensación del ISAN</t>
  </si>
  <si>
    <t xml:space="preserve">   Fondo de Desarrollo Municipal</t>
  </si>
  <si>
    <t xml:space="preserve">   Fondo de Extracción de Hidrocarburos</t>
  </si>
  <si>
    <t xml:space="preserve">   Fondo de Fiscalización</t>
  </si>
  <si>
    <t xml:space="preserve">   Fondo de Seguridad Mpal</t>
  </si>
  <si>
    <t xml:space="preserve">   Fondo de Ultracrecimiento</t>
  </si>
  <si>
    <t xml:space="preserve">   Fondo General de Participaciones</t>
  </si>
  <si>
    <t xml:space="preserve">   Fondo Nacional de Fomento Municipal</t>
  </si>
  <si>
    <t xml:space="preserve">   Fondo SUBSEMUN</t>
  </si>
  <si>
    <t xml:space="preserve">   Fondos Descentralizados Estatales</t>
  </si>
  <si>
    <t xml:space="preserve">   FORTAMUN Aportación Federal</t>
  </si>
  <si>
    <t xml:space="preserve">   Impuesto Especial Sobre Producción y Servicios</t>
  </si>
  <si>
    <t xml:space="preserve">   Impuesto sobre Automóviles Nuevos (ISAN)</t>
  </si>
  <si>
    <t xml:space="preserve">   Provisiones Económicas</t>
  </si>
  <si>
    <t xml:space="preserve">   Proyectos de Desarrollo Económico</t>
  </si>
  <si>
    <t xml:space="preserve">   Proyectos de Obras de Infraestructura</t>
  </si>
  <si>
    <t xml:space="preserve">   Tenencia o uso de Vehículos</t>
  </si>
  <si>
    <t xml:space="preserve">   Ventas Final de Diésel y Gasolina</t>
  </si>
  <si>
    <t>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</si>
  <si>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</si>
  <si>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</si>
  <si>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</si>
  <si>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</si>
  <si>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</si>
  <si>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</si>
  <si>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</si>
  <si>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</si>
  <si>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</si>
  <si>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</si>
  <si>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</si>
  <si>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</si>
  <si>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</si>
  <si>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CRI</t>
  </si>
  <si>
    <t>Formato de Iniciativa de Ley de Ingresos Armonizada:</t>
  </si>
  <si>
    <t>Ingreso Proyectado 2019 (Sin Financiamiento)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</si>
  <si>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</si>
  <si>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</si>
  <si>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</si>
  <si>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</si>
  <si>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</si>
  <si>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</si>
  <si>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</si>
  <si>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</si>
  <si>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</si>
  <si>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</si>
  <si>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 xml:space="preserve">Impuestos no Comprendidos en la Ley de Ingresos Vigente, Causados en  Ejercicios Fiscales Anteriores Pendientes de Liquidación o Pago
</t>
  </si>
  <si>
    <t>Contribuciones de mejoras</t>
  </si>
  <si>
    <t>Contribución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</si>
  <si>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</si>
  <si>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</si>
  <si>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</t>
  </si>
  <si>
    <t>público</t>
  </si>
  <si>
    <t>Derechos a los hidrocarburos (Derogado)</t>
  </si>
  <si>
    <t>Derechos por prestación de servicios</t>
  </si>
  <si>
    <t>Otros Derechos</t>
  </si>
  <si>
    <t>Derechos no comprendidos en las fracciones de la Ley de Ingresos causadas en</t>
  </si>
  <si>
    <t>ejercicios fiscales anteriores pendientes de liquidación o pago</t>
  </si>
  <si>
    <t>Productos</t>
  </si>
  <si>
    <t>Productos de capital (Derogado)</t>
  </si>
  <si>
    <t>Productos no comprendidos en las fracciones de la Ley de Ingresos causadas en</t>
  </si>
  <si>
    <t>Aprovechamientos</t>
  </si>
  <si>
    <t>Aprovechamientos Patrimoniales</t>
  </si>
  <si>
    <t>Accesorios de Aprovechamientos</t>
  </si>
  <si>
    <t xml:space="preserve">Aprovechamientos no Comprendidos en la Ley de Ingresos Vigente, Causados en Ejercicios Fiscales Anteriores Pendientes de Liquidación o Pago
</t>
  </si>
  <si>
    <t>Ingresos por ventas de bienes y servicios</t>
  </si>
  <si>
    <t>Ingresos por Venta de Bienes y Prestación de Servicios de Instituciones Públicas de Seguridad Socia</t>
  </si>
  <si>
    <t>Ingresos por Venta de Bienes y Prestación de Servicios de Empresas Productivas del Estado</t>
  </si>
  <si>
    <t>Ingresos por Venta de Bienes y Prestación de Servicios de Entidades Paraestatales y
Fideicomisos No Empresariales y No Financieros</t>
  </si>
  <si>
    <t>Ingresos por Venta de Bienes y Prestación de Servicios de Entidades Paraestatales
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</si>
  <si>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</si>
  <si>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</si>
  <si>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
con Participación Estatal Mayoritaria</t>
  </si>
  <si>
    <t>Ingresos por Venta de Bienes y Prestación de Servicios de los Poderes Legislativo y Judicial,
y de los Órganos Autónomos</t>
  </si>
  <si>
    <t>Otros Ingresos</t>
  </si>
  <si>
    <t>Participaciones, Aportaciones, Convenios, Incentivos Derivados de la Colaboración Fiscal y Fondos
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</si>
  <si>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</si>
  <si>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</si>
  <si>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</si>
  <si>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</si>
  <si>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</si>
  <si>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</si>
  <si>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</si>
  <si>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 (Derogado)</t>
  </si>
  <si>
    <t>Subsidios y Subvenciones</t>
  </si>
  <si>
    <t>Ayudas sociales  (Derogado)</t>
  </si>
  <si>
    <t>Pensiones y Jubilaciones</t>
  </si>
  <si>
    <t>Transferencias a Fideicomisos, mandatos y análogos 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</si>
  <si>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</si>
  <si>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</si>
  <si>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</si>
  <si>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</si>
  <si>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</si>
  <si>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(pesos)</t>
  </si>
  <si>
    <t>Proyecciones y Resultados de Ingresos y Egresos - LDF</t>
  </si>
  <si>
    <r>
      <t>Formato 7 a)</t>
    </r>
    <r>
      <rPr>
        <sz val="10"/>
        <color theme="1"/>
        <rFont val="Arial"/>
        <family val="2"/>
      </rPr>
      <t>    </t>
    </r>
    <r>
      <rPr>
        <b/>
        <sz val="9"/>
        <color theme="1"/>
        <rFont val="Arial"/>
        <family val="2"/>
      </rPr>
      <t>Proyecciones de Ingresos - LDF</t>
    </r>
  </si>
  <si>
    <t>(PESOS)</t>
  </si>
  <si>
    <t>(CIFRAS NOMINALES)</t>
  </si>
  <si>
    <t>Concepto (b)</t>
  </si>
  <si>
    <t>Año 4 N/A</t>
  </si>
  <si>
    <t>Año 5 N/A</t>
  </si>
  <si>
    <r>
      <t>1. </t>
    </r>
    <r>
      <rPr>
        <b/>
        <sz val="10"/>
        <color rgb="FF000000"/>
        <rFont val="Arial Narrow"/>
        <family val="2"/>
      </rPr>
      <t>Ingresos de Libre Disposición</t>
    </r>
  </si>
  <si>
    <t>(1=A+B+C+D+E+F+G+H+I+J+K+L)</t>
  </si>
  <si>
    <t>A.  Impuestos</t>
  </si>
  <si>
    <t>B.  Cuotas y Aportaciones de Seguridad Social</t>
  </si>
  <si>
    <t>C.  Contribuciones de Mejoras</t>
  </si>
  <si>
    <t>D.  Derechos</t>
  </si>
  <si>
    <t>E.  Productos</t>
  </si>
  <si>
    <t>F.  Aprovechamientos</t>
  </si>
  <si>
    <t>G. Ingresos por Venta de Bienes y Prestación de Servicios</t>
  </si>
  <si>
    <t>H.  Participaciones</t>
  </si>
  <si>
    <t>I.   Incentivos Derivados de la Colaboración Fiscal</t>
  </si>
  <si>
    <t>J.   Transferencias y Asignaciones</t>
  </si>
  <si>
    <t>K.  Convenios</t>
  </si>
  <si>
    <t>L.  Otros Ingresos de Libre Disposición</t>
  </si>
  <si>
    <r>
      <t>2. </t>
    </r>
    <r>
      <rPr>
        <b/>
        <sz val="10"/>
        <color rgb="FF000000"/>
        <rFont val="Arial Narrow"/>
        <family val="2"/>
      </rPr>
      <t>Transferencias Federales Etiquetadas (2=A+B+C+D+E)</t>
    </r>
  </si>
  <si>
    <t>A.  Aportaciones</t>
  </si>
  <si>
    <t>B.  Convenios</t>
  </si>
  <si>
    <t>C.  Fondos Distintos de Aportaciones</t>
  </si>
  <si>
    <t xml:space="preserve">D. Transferencias, Asignaciones, Subsidios y Subvenciones, </t>
  </si>
  <si>
    <t xml:space="preserve">     y Pensiones y Jubilaciones</t>
  </si>
  <si>
    <t>E.  Otras Transferencias Federales Etiquetadas</t>
  </si>
  <si>
    <r>
      <t>3. </t>
    </r>
    <r>
      <rPr>
        <b/>
        <sz val="10"/>
        <color rgb="FF000000"/>
        <rFont val="Arial Narrow"/>
        <family val="2"/>
      </rPr>
      <t>Ingresos Derivados de Financiamientos (3=A)</t>
    </r>
  </si>
  <si>
    <t>A. Ingresos Derivados de Financiamientos</t>
  </si>
  <si>
    <r>
      <t>4. </t>
    </r>
    <r>
      <rPr>
        <b/>
        <sz val="10"/>
        <color rgb="FF000000"/>
        <rFont val="Arial Narrow"/>
        <family val="2"/>
      </rPr>
      <t>Total de Ingresos Proyectados (4=1+2+3)</t>
    </r>
  </si>
  <si>
    <t>Datos Informativos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</si>
  <si>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</si>
  <si>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</si>
  <si>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</si>
  <si>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</si>
  <si>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</si>
  <si>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t>MUNICIPIO EL CARMEN, NUEVO LEON</t>
  </si>
  <si>
    <t>Año 2 N/A</t>
  </si>
  <si>
    <t>Año 3 N/A</t>
  </si>
  <si>
    <r>
      <t>Formato 7 C)</t>
    </r>
    <r>
      <rPr>
        <b/>
        <sz val="10"/>
        <color theme="1"/>
        <rFont val="Arial"/>
        <family val="2"/>
      </rPr>
      <t xml:space="preserve">    Resultados </t>
    </r>
    <r>
      <rPr>
        <b/>
        <sz val="9"/>
        <color theme="1"/>
        <rFont val="Arial"/>
        <family val="2"/>
      </rPr>
      <t>de Ingresos - LDF</t>
    </r>
  </si>
  <si>
    <t>Año 5 (N/A)</t>
  </si>
  <si>
    <t>Año 4 (N/A)</t>
  </si>
  <si>
    <t>G.  Ingresos por Ventas de Bienes y Prestación de Servicios</t>
  </si>
  <si>
    <t xml:space="preserve">D. Transferencias, Asignaciónes, Subsidios y Subvenciones, </t>
  </si>
  <si>
    <t>y Pensiones y Jubilaciones</t>
  </si>
  <si>
    <t>Año 2 (N/A)</t>
  </si>
  <si>
    <t>Año 3 (N/A)</t>
  </si>
  <si>
    <t xml:space="preserve">Ingreso  2019               </t>
  </si>
  <si>
    <t>Municipio el Carmen, Nuevo León</t>
  </si>
  <si>
    <t xml:space="preserve">Ingreso  2020                </t>
  </si>
  <si>
    <t>Real 2020</t>
  </si>
  <si>
    <t>Impuesto Predial</t>
  </si>
  <si>
    <t>Sobre Adq. de Inmuebles</t>
  </si>
  <si>
    <t>Imp. s/Espectáculos Públ.</t>
  </si>
  <si>
    <t>Imp s/Juegos Permitidos</t>
  </si>
  <si>
    <t>S/Aumento y Mejoría Esp</t>
  </si>
  <si>
    <t>Impuestos Accesorios</t>
  </si>
  <si>
    <t>Impuestos Rezagos</t>
  </si>
  <si>
    <t>Derechos por Serv. Públic</t>
  </si>
  <si>
    <t>Por Construcc y Urbaniz</t>
  </si>
  <si>
    <t>Por Certif, Autoriz y Con</t>
  </si>
  <si>
    <t>Por Revisión, Insp y Ser</t>
  </si>
  <si>
    <t>Por Exped de Licencias</t>
  </si>
  <si>
    <t>Por Ctl y Limp de Baldíos</t>
  </si>
  <si>
    <t>Por Limp y Rec Desechos</t>
  </si>
  <si>
    <t>Por Nuevos Fracc, Edif</t>
  </si>
  <si>
    <t>Derechos Accesorios</t>
  </si>
  <si>
    <t>Derechos Rezagos</t>
  </si>
  <si>
    <t>Por Inspecc y Refrendos</t>
  </si>
  <si>
    <t>Por Ocupacion en la Via P</t>
  </si>
  <si>
    <t>Enaj. B. Muebles e Inmueb</t>
  </si>
  <si>
    <t>Arrend o Explot BM o Inmu</t>
  </si>
  <si>
    <t>Por depósito de Escombros</t>
  </si>
  <si>
    <t>Vta Impresos Formatos y P</t>
  </si>
  <si>
    <t>Productos Diversos</t>
  </si>
  <si>
    <t>Multas</t>
  </si>
  <si>
    <t>Donativos</t>
  </si>
  <si>
    <t>Indemnizaciones</t>
  </si>
  <si>
    <t>Aprovechamientos Diversos</t>
  </si>
  <si>
    <t xml:space="preserve"> ISN2020</t>
  </si>
  <si>
    <t xml:space="preserve"> Defensoría IMM</t>
  </si>
  <si>
    <t xml:space="preserve">   Fondos Descentralizados para fines específicos</t>
  </si>
  <si>
    <t>PPTO 2021</t>
  </si>
  <si>
    <t>Ingresos Estimados para el Ejercicio 2025</t>
  </si>
  <si>
    <t>Iniciativa de Ley de Ingresos para el Ejercicio Fiscal 2025</t>
  </si>
  <si>
    <t xml:space="preserve">RUBRO DE INGRESOS </t>
  </si>
  <si>
    <t>Amortizacion de la deuda interna</t>
  </si>
  <si>
    <t>Sobre diversiones y espectaculos</t>
  </si>
  <si>
    <t xml:space="preserve">Corridas de toros </t>
  </si>
  <si>
    <t>Impuestos sobre el Patrimonio</t>
  </si>
  <si>
    <t>Predial</t>
  </si>
  <si>
    <t>Presente año</t>
  </si>
  <si>
    <t>Rezago</t>
  </si>
  <si>
    <t>Predial Descuentos Especiales</t>
  </si>
  <si>
    <t>Reduccion por pronto pago</t>
  </si>
  <si>
    <t>Sobre adquisicion de inmuebles</t>
  </si>
  <si>
    <t>Impuesto ISAI</t>
  </si>
  <si>
    <t>Subsidio (cargo) ISAI</t>
  </si>
  <si>
    <t>Recargos, gastos de ejecucion</t>
  </si>
  <si>
    <t>Recargos predial</t>
  </si>
  <si>
    <t>Recargos I.S.A.I.</t>
  </si>
  <si>
    <t>Contribuciones de Mejoras por Obras Públicas Municipales</t>
  </si>
  <si>
    <t>Tuberia de Distribucion de Agua Potable</t>
  </si>
  <si>
    <t>Derechos por el uso, goce, aprovechamiento o explotación de bienes de dominio público</t>
  </si>
  <si>
    <t>Por ocupacion de la via publica.</t>
  </si>
  <si>
    <t>Instalaciones fijas y semifijas</t>
  </si>
  <si>
    <t xml:space="preserve">Derechos por prestacion de servicios </t>
  </si>
  <si>
    <t>Por Servicios Publicos</t>
  </si>
  <si>
    <t>Ecologia (Desarrollo urbano)</t>
  </si>
  <si>
    <t>Por Contrucciones y urbanizaciones</t>
  </si>
  <si>
    <t>Examen y Aprobacion de planos de construccion</t>
  </si>
  <si>
    <t>Subsidios (cargo)</t>
  </si>
  <si>
    <t>Por Certificaciones,autorizaciones, constancias y registros</t>
  </si>
  <si>
    <t xml:space="preserve">Expedicion de Certificados </t>
  </si>
  <si>
    <t>Por inscripcion y refrendo.</t>
  </si>
  <si>
    <t xml:space="preserve">Inscripciones por inicios de </t>
  </si>
  <si>
    <t>Refrendos de la Licencia, Autoriz. Permi</t>
  </si>
  <si>
    <t>Por revisión, inspección y servicios</t>
  </si>
  <si>
    <t>Servicios para expedicion de Licencia</t>
  </si>
  <si>
    <t>Servicios de Examen de Pericia</t>
  </si>
  <si>
    <t xml:space="preserve">Expedicion de Licencias de </t>
  </si>
  <si>
    <t>Por Anuecia Municipal (Alcoholes)</t>
  </si>
  <si>
    <t>Anuencia Municipal</t>
  </si>
  <si>
    <t>Recargos</t>
  </si>
  <si>
    <t>Recargos de Refrendos</t>
  </si>
  <si>
    <t>Productos de tipo de corrientes</t>
  </si>
  <si>
    <t xml:space="preserve">Productos Derivados del Uso y </t>
  </si>
  <si>
    <t>Utilidad por Enajenacion de Bienes</t>
  </si>
  <si>
    <t>Arrendamiento o Explotacion de Bienes Muebles e Inmuebles</t>
  </si>
  <si>
    <t>Centro social</t>
  </si>
  <si>
    <t xml:space="preserve"> Servicios de Capillas de Velación y Panteones Municipales</t>
  </si>
  <si>
    <t>Intereses Ganados de valores,creditos,bonos, otros.</t>
  </si>
  <si>
    <t>Instituciones Bancarias</t>
  </si>
  <si>
    <t>Transito</t>
  </si>
  <si>
    <t>Policia y Buen Gobierno</t>
  </si>
  <si>
    <t>Proteccion civil</t>
  </si>
  <si>
    <t>Participaciones Federales</t>
  </si>
  <si>
    <t>Fondo General de Participaciones</t>
  </si>
  <si>
    <t>Fondo Nacional de Fomento Municipal</t>
  </si>
  <si>
    <t>Fondo de Fiscalizacion</t>
  </si>
  <si>
    <t xml:space="preserve">Impuesto sobre Automoviles </t>
  </si>
  <si>
    <t>Impuesto especial Sobre Produccion y servicios</t>
  </si>
  <si>
    <t>Ventas Final de Diesel y Gasolina</t>
  </si>
  <si>
    <t>ISR por Enajenacion de Bienes Inmuebles</t>
  </si>
  <si>
    <t>Devolucion de Isr</t>
  </si>
  <si>
    <t>Participaciones Estatales</t>
  </si>
  <si>
    <t>Control Vehicular</t>
  </si>
  <si>
    <t>Tenencia o uso de vehiculos</t>
  </si>
  <si>
    <t>Fondos Descentralizados de Seguridad ISN</t>
  </si>
  <si>
    <t>Aportaciones Federales</t>
  </si>
  <si>
    <t>Ramo 33_FISM_ Fondo de Infraestructural social Municipal</t>
  </si>
  <si>
    <t>Fondo para el Fortalecimiento Municiapl</t>
  </si>
  <si>
    <t>Fondo SUBSEMUN</t>
  </si>
  <si>
    <t>Aportaciones Estatales</t>
  </si>
  <si>
    <t>Fondos Descentralizados Estatales</t>
  </si>
  <si>
    <t>Fondo de Ultracrecimiento</t>
  </si>
  <si>
    <t>FONDO PARA DEFENSORIAS</t>
  </si>
  <si>
    <t>PROVISIONES ECONOMICAS ESTATALES</t>
  </si>
  <si>
    <t>FONDO DE CULTURA ESTATAL</t>
  </si>
  <si>
    <t>Accesorios de Derechos</t>
  </si>
  <si>
    <t>Proyecciones de Ingresos - LDF, EJERCICIO 2025</t>
  </si>
  <si>
    <t>Resultados de Ingresos - LDF, Proyección Ejercicio 2025</t>
  </si>
  <si>
    <t>Proyección de Ingresos Ejercicio 2025</t>
  </si>
  <si>
    <t>Amortización de la deuda interna con instituciones de crédito</t>
  </si>
  <si>
    <t>Sobre diversiones y espectáculos públicos.</t>
  </si>
  <si>
    <t xml:space="preserve">    Corridas de Toros</t>
  </si>
  <si>
    <t xml:space="preserve">    Presente Año</t>
  </si>
  <si>
    <t xml:space="preserve">    Rezago</t>
  </si>
  <si>
    <t xml:space="preserve">    Predial Descuentos Especiales</t>
  </si>
  <si>
    <t xml:space="preserve">    Reducción por Pronto Pago (Cargo)</t>
  </si>
  <si>
    <t>Sobre adquisición de inmuebles.</t>
  </si>
  <si>
    <t xml:space="preserve">    Impuesto ISAI</t>
  </si>
  <si>
    <t xml:space="preserve">    Subsidio (Cargo) ISAI</t>
  </si>
  <si>
    <t>Recargos, gastos de ejecución, sanciones e indemnizaciones.</t>
  </si>
  <si>
    <t xml:space="preserve">    Recargos Predial</t>
  </si>
  <si>
    <t xml:space="preserve">    Recargos I.S.A.I.</t>
  </si>
  <si>
    <t xml:space="preserve">    Tubería de Distribución de Agua Potable</t>
  </si>
  <si>
    <t>Por ocupación de la vía pública.</t>
  </si>
  <si>
    <t xml:space="preserve">    Instalaciones Fijas y Semifijas</t>
  </si>
  <si>
    <t>Por Servicios Públicos</t>
  </si>
  <si>
    <t xml:space="preserve">    Ecología(Desarrollo Urbano)</t>
  </si>
  <si>
    <t>Por Contrucciones y urbanizaciones.</t>
  </si>
  <si>
    <t xml:space="preserve">    Exámen y Aprobación de Planos de Construcción</t>
  </si>
  <si>
    <t xml:space="preserve">    Subsidios (Cargo)</t>
  </si>
  <si>
    <t>Por certificaciones, autorizaciones, constancias y registros.</t>
  </si>
  <si>
    <t xml:space="preserve">    Expedición de Certificados y Constancias</t>
  </si>
  <si>
    <t>Por inscripción y refrendo.</t>
  </si>
  <si>
    <t xml:space="preserve">    Inscripciones por Inicio de Actividades</t>
  </si>
  <si>
    <t xml:space="preserve">    Refrendos de la Licencia, Autoriz. Permi</t>
  </si>
  <si>
    <t xml:space="preserve">    Servicios para  Expedición de Licencia</t>
  </si>
  <si>
    <t xml:space="preserve">    Servicio de Exámen de Pericia para aprobación de licencia</t>
  </si>
  <si>
    <t xml:space="preserve">    Expedicion de Licencias de Estacionamiento exclusivo carga y descarga</t>
  </si>
  <si>
    <t xml:space="preserve">    Anuencia Municipal</t>
  </si>
  <si>
    <t xml:space="preserve">Recargos </t>
  </si>
  <si>
    <t xml:space="preserve">    Recargos de Refrendos</t>
  </si>
  <si>
    <t>Productos de tipo corriente</t>
  </si>
  <si>
    <t>Productos Derivados del Uso y Aprovechamiento de Bienes no Sujetos a Régimen de Dominio Público</t>
  </si>
  <si>
    <t xml:space="preserve">    Utilidad por Enajenacion de Bienes</t>
  </si>
  <si>
    <t xml:space="preserve">    Centro Social</t>
  </si>
  <si>
    <t xml:space="preserve">    Servicios de Capillas de Velación y Panteones Municipales</t>
  </si>
  <si>
    <t>Intereses ganados de valores, créditos, bonos y otros.</t>
  </si>
  <si>
    <t xml:space="preserve">    Instituciones Bancarias</t>
  </si>
  <si>
    <t xml:space="preserve">    Tránsito</t>
  </si>
  <si>
    <t xml:space="preserve">    Policía y Buen Gobierno</t>
  </si>
  <si>
    <t xml:space="preserve">    Fondo General de Participaciones</t>
  </si>
  <si>
    <t xml:space="preserve">    Fondo Nacional de Fomento Municipal </t>
  </si>
  <si>
    <t xml:space="preserve">    Fondo de Fiscalización </t>
  </si>
  <si>
    <t xml:space="preserve">    Impuesto sobre Automóviles Nuevos.(ISAN)</t>
  </si>
  <si>
    <t xml:space="preserve">    Impuesto Especial Sobre Producción y Servicios</t>
  </si>
  <si>
    <t xml:space="preserve">     Ventas Final de Diesel y Gasolina </t>
  </si>
  <si>
    <t xml:space="preserve">    ISR Por Enajenación de Bienes Inmuebles</t>
  </si>
  <si>
    <t xml:space="preserve">    Control Vehicular</t>
  </si>
  <si>
    <t xml:space="preserve">    Fondos Descentralizados de Seguridad ISN</t>
  </si>
  <si>
    <t xml:space="preserve">Aportaciones </t>
  </si>
  <si>
    <t xml:space="preserve">    Ramo 33_FISE_Fondo de Infraestructura Social Estatal</t>
  </si>
  <si>
    <t xml:space="preserve">    Ramo 33_FISM_Fondo de Infraestructura Social Municipal </t>
  </si>
  <si>
    <t xml:space="preserve">    Fondo para el Fortalecimiento Municipal FORTAMUN_ Ramo 33</t>
  </si>
  <si>
    <t xml:space="preserve">    Fondo SUBSEMUN</t>
  </si>
  <si>
    <t>Aportaciones Estatales.</t>
  </si>
  <si>
    <t xml:space="preserve">    Fondos Descentralizados Estatales</t>
  </si>
  <si>
    <t xml:space="preserve">    Fondo de Ultracrecimiento</t>
  </si>
  <si>
    <t xml:space="preserve">    FONDO  PARA DEFENSORIAS MUNICIPALES SIPINNA</t>
  </si>
  <si>
    <t xml:space="preserve">    PROVISIONES ECONOMICAS ESTATALES</t>
  </si>
  <si>
    <t xml:space="preserve">    FONDO DE CULTURA ESTATAL</t>
  </si>
  <si>
    <t>Proyección de Ingresos Ejercicio 2024</t>
  </si>
  <si>
    <t>01-91101</t>
  </si>
  <si>
    <t>11-01</t>
  </si>
  <si>
    <t>11-01-05</t>
  </si>
  <si>
    <t>12-01</t>
  </si>
  <si>
    <t>12-01-01</t>
  </si>
  <si>
    <t>12-01-02</t>
  </si>
  <si>
    <t>12-01-07</t>
  </si>
  <si>
    <t>12-01-49</t>
  </si>
  <si>
    <t>12-02</t>
  </si>
  <si>
    <t>12-02-01</t>
  </si>
  <si>
    <t>12-02-50</t>
  </si>
  <si>
    <t>17-01</t>
  </si>
  <si>
    <t>17-01-01</t>
  </si>
  <si>
    <t>17-01-02</t>
  </si>
  <si>
    <t>31-01</t>
  </si>
  <si>
    <t>31-01-01</t>
  </si>
  <si>
    <t>41-01</t>
  </si>
  <si>
    <t>41-01-01</t>
  </si>
  <si>
    <t>43-01</t>
  </si>
  <si>
    <t>43-01-04</t>
  </si>
  <si>
    <t>43-02</t>
  </si>
  <si>
    <t>43-02-01</t>
  </si>
  <si>
    <t>43-02-50</t>
  </si>
  <si>
    <t>43-03</t>
  </si>
  <si>
    <t>43-03-01</t>
  </si>
  <si>
    <t>43-04</t>
  </si>
  <si>
    <t>43-04-01</t>
  </si>
  <si>
    <t>43-04-02</t>
  </si>
  <si>
    <t>43-04-50</t>
  </si>
  <si>
    <t>43-05</t>
  </si>
  <si>
    <t>43-05-01</t>
  </si>
  <si>
    <t>43-05-03</t>
  </si>
  <si>
    <t>43-05-05</t>
  </si>
  <si>
    <t>43-09</t>
  </si>
  <si>
    <t>43-09-01</t>
  </si>
  <si>
    <t>45-01</t>
  </si>
  <si>
    <t>45-01-01</t>
  </si>
  <si>
    <t>51-01</t>
  </si>
  <si>
    <t>51-01-01</t>
  </si>
  <si>
    <t>51-02</t>
  </si>
  <si>
    <t>51-02-01</t>
  </si>
  <si>
    <t>51-02-02</t>
  </si>
  <si>
    <t>51-03</t>
  </si>
  <si>
    <t>51-03-01</t>
  </si>
  <si>
    <t>62-01</t>
  </si>
  <si>
    <t>62-01-01</t>
  </si>
  <si>
    <t>62-01-02</t>
  </si>
  <si>
    <t>81-01</t>
  </si>
  <si>
    <t>81-01-01</t>
  </si>
  <si>
    <t>81-01-02</t>
  </si>
  <si>
    <t>81-01-03</t>
  </si>
  <si>
    <t>81-01-05</t>
  </si>
  <si>
    <t>81-01-07</t>
  </si>
  <si>
    <t>81-01-08</t>
  </si>
  <si>
    <t>81-01-10</t>
  </si>
  <si>
    <t>81-02</t>
  </si>
  <si>
    <t>81-02-01</t>
  </si>
  <si>
    <t>81-02-03</t>
  </si>
  <si>
    <t>82-01</t>
  </si>
  <si>
    <t>82-01-01</t>
  </si>
  <si>
    <t>82-01-02</t>
  </si>
  <si>
    <t>82-01-03</t>
  </si>
  <si>
    <t>82-01-04</t>
  </si>
  <si>
    <t>82-02</t>
  </si>
  <si>
    <t>82-02-01</t>
  </si>
  <si>
    <t>82-02-03</t>
  </si>
  <si>
    <t>82-02-07</t>
  </si>
  <si>
    <t>82-02-09</t>
  </si>
  <si>
    <t>82-02-10</t>
  </si>
  <si>
    <t>MUNICIPIO DE EL CARMEN, NUEVO LEON</t>
  </si>
  <si>
    <t>CALENDARIO DE 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</si>
</sst>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_)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0"/>
      <name val="Arial"/>
      <family val="2"/>
    </font>
    <font>
      <sz val="8.0500000000000007"/>
      <color indexed="8"/>
      <name val="Arial"/>
      <family val="2"/>
    </font>
    <font>
      <b/>
      <sz val="10"/>
      <color theme="1"/>
      <name val="Arial Nova Cond"/>
      <family val="2"/>
    </font>
    <font>
      <b/>
      <i/>
      <sz val="10"/>
      <color rgb="FF000000"/>
      <name val="Arial Nova Cond"/>
      <family val="2"/>
    </font>
    <font>
      <b/>
      <sz val="10"/>
      <color rgb="FF0000FF"/>
      <name val="Arial Nova Cond"/>
      <family val="2"/>
    </font>
    <font>
      <sz val="10"/>
      <color rgb="FF000000"/>
      <name val="Arial Nova Cond"/>
      <family val="2"/>
    </font>
    <font>
      <sz val="10"/>
      <color indexed="8"/>
      <name val="Arial Nova Cond"/>
      <family val="2"/>
    </font>
    <font>
      <sz val="10"/>
      <color theme="1"/>
      <name val="Arial Nova Cond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6.8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Tahoma"/>
      <family val="2"/>
    </font>
    <font>
      <sz val="6.8"/>
      <color rgb="FFFF0000"/>
      <name val="Arial"/>
      <family val="2"/>
    </font>
    <font>
      <sz val="11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186">
    <xf numFmtId="0" fontId="0" fillId="0" borderId="0" xfId="0"/>
    <xf numFmtId="4" fontId="0" fillId="0" borderId="0" xfId="0" applyNumberFormat="1"/>
    <xf numFmtId="44" fontId="0" fillId="0" borderId="0" xfId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164" fontId="5" fillId="7" borderId="1" xfId="2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10" xfId="2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indent="3"/>
    </xf>
    <xf numFmtId="164" fontId="10" fillId="0" borderId="31" xfId="2" applyNumberFormat="1" applyFont="1" applyBorder="1" applyAlignment="1">
      <alignment horizontal="right" vertical="center"/>
    </xf>
    <xf numFmtId="164" fontId="10" fillId="0" borderId="31" xfId="2" applyNumberFormat="1" applyFont="1" applyBorder="1" applyAlignment="1">
      <alignment horizontal="center" vertical="center"/>
    </xf>
    <xf numFmtId="164" fontId="10" fillId="0" borderId="32" xfId="2" applyNumberFormat="1" applyFont="1" applyBorder="1" applyAlignment="1">
      <alignment horizontal="center" vertical="center"/>
    </xf>
    <xf numFmtId="165" fontId="0" fillId="0" borderId="0" xfId="0" applyNumberFormat="1"/>
    <xf numFmtId="44" fontId="0" fillId="0" borderId="0" xfId="0" applyNumberFormat="1"/>
    <xf numFmtId="0" fontId="10" fillId="0" borderId="3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164" fontId="10" fillId="0" borderId="33" xfId="2" applyNumberFormat="1" applyFont="1" applyBorder="1" applyAlignment="1">
      <alignment horizontal="center" vertical="center"/>
    </xf>
    <xf numFmtId="164" fontId="10" fillId="0" borderId="38" xfId="2" applyNumberFormat="1" applyFont="1" applyBorder="1" applyAlignment="1">
      <alignment horizontal="center" vertical="center"/>
    </xf>
    <xf numFmtId="164" fontId="10" fillId="0" borderId="31" xfId="2" applyNumberFormat="1" applyFont="1" applyBorder="1" applyAlignment="1">
      <alignment horizontal="justify" vertical="center" wrapText="1"/>
    </xf>
    <xf numFmtId="0" fontId="9" fillId="0" borderId="30" xfId="0" applyFont="1" applyBorder="1" applyAlignment="1">
      <alignment horizontal="left" vertical="center"/>
    </xf>
    <xf numFmtId="0" fontId="10" fillId="10" borderId="30" xfId="0" applyFont="1" applyFill="1" applyBorder="1" applyAlignment="1">
      <alignment horizontal="left" vertical="center" indent="1"/>
    </xf>
    <xf numFmtId="0" fontId="9" fillId="10" borderId="30" xfId="0" applyFont="1" applyFill="1" applyBorder="1" applyAlignment="1">
      <alignment horizontal="left" vertical="center" indent="1"/>
    </xf>
    <xf numFmtId="164" fontId="10" fillId="10" borderId="31" xfId="2" applyNumberFormat="1" applyFont="1" applyFill="1" applyBorder="1" applyAlignment="1">
      <alignment horizontal="center" vertical="center"/>
    </xf>
    <xf numFmtId="164" fontId="10" fillId="10" borderId="32" xfId="2" applyNumberFormat="1" applyFont="1" applyFill="1" applyBorder="1" applyAlignment="1">
      <alignment horizontal="center" vertical="center"/>
    </xf>
    <xf numFmtId="165" fontId="10" fillId="10" borderId="31" xfId="1" applyNumberFormat="1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left" vertical="center"/>
    </xf>
    <xf numFmtId="164" fontId="10" fillId="10" borderId="33" xfId="2" applyNumberFormat="1" applyFont="1" applyFill="1" applyBorder="1" applyAlignment="1">
      <alignment horizontal="center" vertical="center"/>
    </xf>
    <xf numFmtId="164" fontId="10" fillId="0" borderId="31" xfId="2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left" vertical="center"/>
    </xf>
    <xf numFmtId="164" fontId="10" fillId="4" borderId="33" xfId="2" applyNumberFormat="1" applyFont="1" applyFill="1" applyBorder="1" applyAlignment="1">
      <alignment horizontal="center" vertical="center"/>
    </xf>
    <xf numFmtId="164" fontId="6" fillId="10" borderId="1" xfId="2" applyNumberFormat="1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3" fillId="10" borderId="11" xfId="0" applyFont="1" applyFill="1" applyBorder="1" applyAlignment="1">
      <alignment vertical="center"/>
    </xf>
    <xf numFmtId="164" fontId="5" fillId="10" borderId="10" xfId="2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164" fontId="5" fillId="10" borderId="1" xfId="2" applyNumberFormat="1" applyFont="1" applyFill="1" applyBorder="1" applyAlignment="1">
      <alignment vertical="center"/>
    </xf>
    <xf numFmtId="0" fontId="5" fillId="10" borderId="12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164" fontId="5" fillId="10" borderId="13" xfId="2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166" fontId="12" fillId="0" borderId="0" xfId="0" applyNumberFormat="1" applyFont="1" applyAlignment="1">
      <alignment horizontal="right" vertical="center"/>
    </xf>
    <xf numFmtId="4" fontId="13" fillId="3" borderId="1" xfId="0" applyNumberFormat="1" applyFont="1" applyFill="1" applyBorder="1"/>
    <xf numFmtId="0" fontId="14" fillId="0" borderId="0" xfId="0" applyFont="1"/>
    <xf numFmtId="0" fontId="14" fillId="0" borderId="1" xfId="0" applyFont="1" applyBorder="1"/>
    <xf numFmtId="0" fontId="15" fillId="2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3" borderId="1" xfId="0" applyFont="1" applyFill="1" applyBorder="1"/>
    <xf numFmtId="0" fontId="16" fillId="4" borderId="1" xfId="0" applyFont="1" applyFill="1" applyBorder="1"/>
    <xf numFmtId="0" fontId="16" fillId="4" borderId="1" xfId="0" applyFont="1" applyFill="1" applyBorder="1" applyAlignment="1">
      <alignment horizontal="left" indent="1"/>
    </xf>
    <xf numFmtId="4" fontId="16" fillId="4" borderId="1" xfId="0" applyNumberFormat="1" applyFont="1" applyFill="1" applyBorder="1"/>
    <xf numFmtId="0" fontId="18" fillId="0" borderId="0" xfId="0" applyFont="1"/>
    <xf numFmtId="43" fontId="13" fillId="3" borderId="1" xfId="2" applyFont="1" applyFill="1" applyBorder="1"/>
    <xf numFmtId="0" fontId="13" fillId="0" borderId="0" xfId="0" applyFont="1"/>
    <xf numFmtId="0" fontId="16" fillId="0" borderId="0" xfId="0" applyFont="1"/>
    <xf numFmtId="4" fontId="13" fillId="0" borderId="1" xfId="0" applyNumberFormat="1" applyFont="1" applyBorder="1"/>
    <xf numFmtId="4" fontId="18" fillId="0" borderId="0" xfId="0" applyNumberFormat="1" applyFont="1"/>
    <xf numFmtId="44" fontId="18" fillId="0" borderId="0" xfId="1" applyFont="1"/>
    <xf numFmtId="166" fontId="17" fillId="0" borderId="1" xfId="0" applyNumberFormat="1" applyFont="1" applyBorder="1" applyAlignment="1">
      <alignment horizontal="right" vertical="center"/>
    </xf>
    <xf numFmtId="166" fontId="12" fillId="0" borderId="1" xfId="0" applyNumberFormat="1" applyFont="1" applyBorder="1" applyAlignment="1">
      <alignment horizontal="right" vertical="center"/>
    </xf>
    <xf numFmtId="0" fontId="16" fillId="4" borderId="1" xfId="0" applyFont="1" applyFill="1" applyBorder="1" applyAlignment="1">
      <alignment horizontal="left"/>
    </xf>
    <xf numFmtId="4" fontId="12" fillId="0" borderId="0" xfId="0" applyNumberFormat="1" applyFont="1" applyAlignment="1">
      <alignment vertical="center"/>
    </xf>
    <xf numFmtId="44" fontId="15" fillId="0" borderId="0" xfId="1" applyFont="1"/>
    <xf numFmtId="44" fontId="13" fillId="0" borderId="0" xfId="1" applyFont="1"/>
    <xf numFmtId="4" fontId="15" fillId="0" borderId="0" xfId="0" applyNumberFormat="1" applyFont="1"/>
    <xf numFmtId="4" fontId="13" fillId="0" borderId="0" xfId="0" applyNumberFormat="1" applyFont="1"/>
    <xf numFmtId="44" fontId="16" fillId="0" borderId="0" xfId="1" applyFont="1"/>
    <xf numFmtId="4" fontId="16" fillId="0" borderId="0" xfId="0" applyNumberFormat="1" applyFont="1"/>
    <xf numFmtId="4" fontId="16" fillId="0" borderId="1" xfId="0" applyNumberFormat="1" applyFont="1" applyBorder="1"/>
    <xf numFmtId="43" fontId="3" fillId="0" borderId="0" xfId="0" applyNumberFormat="1" applyFont="1" applyAlignment="1">
      <alignment vertical="center"/>
    </xf>
    <xf numFmtId="164" fontId="3" fillId="0" borderId="7" xfId="2" applyNumberFormat="1" applyFont="1" applyBorder="1" applyAlignment="1">
      <alignment vertical="center"/>
    </xf>
    <xf numFmtId="164" fontId="3" fillId="0" borderId="9" xfId="2" applyNumberFormat="1" applyFont="1" applyBorder="1" applyAlignment="1">
      <alignment vertical="center"/>
    </xf>
    <xf numFmtId="164" fontId="5" fillId="10" borderId="6" xfId="2" applyNumberFormat="1" applyFont="1" applyFill="1" applyBorder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/>
    <xf numFmtId="44" fontId="19" fillId="0" borderId="0" xfId="1" applyFont="1"/>
    <xf numFmtId="44" fontId="19" fillId="0" borderId="0" xfId="1" applyFont="1" applyAlignment="1">
      <alignment vertical="center"/>
    </xf>
    <xf numFmtId="3" fontId="6" fillId="10" borderId="1" xfId="2" applyNumberFormat="1" applyFont="1" applyFill="1" applyBorder="1" applyAlignment="1">
      <alignment horizontal="right" vertical="center"/>
    </xf>
    <xf numFmtId="3" fontId="5" fillId="7" borderId="1" xfId="2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5" fillId="10" borderId="1" xfId="2" applyNumberFormat="1" applyFont="1" applyFill="1" applyBorder="1" applyAlignment="1">
      <alignment horizontal="right" vertical="center"/>
    </xf>
    <xf numFmtId="0" fontId="20" fillId="11" borderId="0" xfId="0" applyFont="1" applyFill="1" applyAlignment="1">
      <alignment horizontal="left" vertical="top" wrapText="1"/>
    </xf>
    <xf numFmtId="7" fontId="21" fillId="11" borderId="0" xfId="0" applyNumberFormat="1" applyFont="1" applyFill="1" applyAlignment="1">
      <alignment horizontal="right" vertical="center" wrapText="1"/>
    </xf>
    <xf numFmtId="0" fontId="22" fillId="0" borderId="0" xfId="0" applyFont="1" applyAlignment="1">
      <alignment horizontal="left" vertical="top" wrapText="1"/>
    </xf>
    <xf numFmtId="7" fontId="21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7" fontId="24" fillId="0" borderId="0" xfId="0" applyNumberFormat="1" applyFont="1" applyAlignment="1">
      <alignment horizontal="right" vertical="center" wrapText="1"/>
    </xf>
    <xf numFmtId="7" fontId="3" fillId="0" borderId="0" xfId="0" applyNumberFormat="1" applyFont="1" applyAlignment="1">
      <alignment vertical="center"/>
    </xf>
    <xf numFmtId="3" fontId="3" fillId="11" borderId="1" xfId="0" applyNumberFormat="1" applyFont="1" applyFill="1" applyBorder="1" applyAlignment="1">
      <alignment horizontal="right" vertical="center"/>
    </xf>
    <xf numFmtId="7" fontId="3" fillId="0" borderId="0" xfId="0" applyNumberFormat="1" applyFont="1"/>
    <xf numFmtId="3" fontId="3" fillId="0" borderId="0" xfId="0" applyNumberFormat="1" applyFont="1"/>
    <xf numFmtId="0" fontId="5" fillId="10" borderId="2" xfId="0" applyFont="1" applyFill="1" applyBorder="1" applyAlignment="1">
      <alignment horizontal="left" vertical="center" wrapText="1"/>
    </xf>
    <xf numFmtId="0" fontId="5" fillId="10" borderId="14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10" fillId="0" borderId="31" xfId="2" applyNumberFormat="1" applyFont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165" fontId="10" fillId="10" borderId="31" xfId="1" applyNumberFormat="1" applyFont="1" applyFill="1" applyBorder="1" applyAlignment="1">
      <alignment horizontal="center" vertical="center"/>
    </xf>
    <xf numFmtId="165" fontId="10" fillId="10" borderId="32" xfId="1" applyNumberFormat="1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25" fillId="0" borderId="0" xfId="3" applyFill="1"/>
    <xf numFmtId="1" fontId="25" fillId="0" borderId="0" xfId="3" applyNumberFormat="1" applyFill="1"/>
    <xf numFmtId="39" fontId="22" fillId="0" borderId="0" xfId="3" applyNumberFormat="1" applyFont="1" applyFill="1" applyAlignment="1">
      <alignment horizontal="left" vertical="top" wrapText="1"/>
    </xf>
    <xf numFmtId="0" fontId="20" fillId="0" borderId="0" xfId="3" applyFont="1" applyFill="1" applyAlignment="1">
      <alignment horizontal="left" vertical="top" wrapText="1"/>
    </xf>
    <xf numFmtId="7" fontId="21" fillId="0" borderId="0" xfId="3" applyNumberFormat="1" applyFont="1" applyFill="1" applyAlignment="1">
      <alignment horizontal="right" vertical="center" wrapText="1"/>
    </xf>
    <xf numFmtId="7" fontId="21" fillId="0" borderId="0" xfId="3" applyNumberFormat="1" applyFont="1" applyFill="1" applyAlignment="1">
      <alignment horizontal="right" vertical="top" wrapText="1"/>
    </xf>
    <xf numFmtId="1" fontId="21" fillId="0" borderId="0" xfId="3" applyNumberFormat="1" applyFont="1" applyFill="1" applyAlignment="1">
      <alignment horizontal="right" vertical="top" wrapText="1"/>
    </xf>
    <xf numFmtId="0" fontId="25" fillId="0" borderId="0" xfId="3" applyFill="1" applyAlignment="1">
      <alignment horizontal="center"/>
    </xf>
    <xf numFmtId="0" fontId="22" fillId="0" borderId="0" xfId="3" applyFont="1" applyFill="1" applyAlignment="1">
      <alignment horizontal="left" vertical="top" wrapText="1"/>
    </xf>
    <xf numFmtId="7" fontId="26" fillId="0" borderId="0" xfId="3" applyNumberFormat="1" applyFont="1" applyFill="1" applyAlignment="1">
      <alignment horizontal="right" vertical="top" wrapText="1"/>
    </xf>
    <xf numFmtId="4" fontId="25" fillId="0" borderId="0" xfId="3" applyNumberFormat="1" applyFill="1" applyAlignment="1">
      <alignment horizontal="center"/>
    </xf>
    <xf numFmtId="4" fontId="25" fillId="0" borderId="0" xfId="3" applyNumberFormat="1" applyFill="1" applyAlignment="1">
      <alignment horizontal="right"/>
    </xf>
    <xf numFmtId="0" fontId="23" fillId="0" borderId="0" xfId="3" applyFont="1" applyFill="1" applyAlignment="1">
      <alignment horizontal="left" vertical="top" wrapText="1"/>
    </xf>
    <xf numFmtId="7" fontId="24" fillId="0" borderId="0" xfId="3" applyNumberFormat="1" applyFont="1" applyFill="1" applyAlignment="1">
      <alignment horizontal="right" vertical="center" wrapText="1"/>
    </xf>
    <xf numFmtId="7" fontId="24" fillId="0" borderId="0" xfId="3" applyNumberFormat="1" applyFont="1" applyFill="1" applyAlignment="1">
      <alignment horizontal="right" vertical="top" wrapText="1"/>
    </xf>
    <xf numFmtId="0" fontId="25" fillId="0" borderId="0" xfId="3" applyFill="1" applyAlignment="1">
      <alignment vertical="top"/>
    </xf>
    <xf numFmtId="0" fontId="25" fillId="0" borderId="22" xfId="3" applyFill="1" applyBorder="1"/>
    <xf numFmtId="0" fontId="25" fillId="0" borderId="22" xfId="3" applyFill="1" applyBorder="1" applyAlignment="1">
      <alignment vertical="top"/>
    </xf>
    <xf numFmtId="7" fontId="24" fillId="0" borderId="22" xfId="3" applyNumberFormat="1" applyFont="1" applyFill="1" applyBorder="1" applyAlignment="1">
      <alignment horizontal="right" vertical="top" wrapText="1"/>
    </xf>
    <xf numFmtId="1" fontId="24" fillId="0" borderId="22" xfId="3" applyNumberFormat="1" applyFont="1" applyFill="1" applyBorder="1" applyAlignment="1">
      <alignment horizontal="right" vertical="top" wrapText="1"/>
    </xf>
    <xf numFmtId="3" fontId="25" fillId="0" borderId="0" xfId="3" applyNumberFormat="1" applyFill="1"/>
    <xf numFmtId="7" fontId="25" fillId="0" borderId="0" xfId="3" applyNumberFormat="1" applyFill="1"/>
    <xf numFmtId="0" fontId="27" fillId="0" borderId="0" xfId="3" applyFont="1" applyFill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2" xfId="3" xr:uid="{2D842B80-BCFB-4642-9D79-A97BFDC2B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71"/>
  <sheetViews>
    <sheetView topLeftCell="D1" workbookViewId="0">
      <selection activeCell="J17" sqref="J17"/>
    </sheetView>
  </sheetViews>
  <sheetFormatPr baseColWidth="10" defaultColWidth="11.42578125" defaultRowHeight="12.75" x14ac:dyDescent="0.2"/>
  <cols>
    <col min="1" max="1" width="0" style="83" hidden="1" customWidth="1"/>
    <col min="2" max="3" width="9" style="83" hidden="1" customWidth="1"/>
    <col min="4" max="4" width="41.28515625" style="83" customWidth="1"/>
    <col min="5" max="5" width="13.7109375" style="83" customWidth="1"/>
    <col min="6" max="6" width="15.140625" style="83" customWidth="1"/>
    <col min="7" max="7" width="14.140625" style="83" customWidth="1"/>
    <col min="8" max="8" width="12.7109375" style="83" customWidth="1"/>
    <col min="9" max="10" width="13.7109375" style="83" customWidth="1"/>
    <col min="11" max="11" width="14.140625" style="83" customWidth="1"/>
    <col min="12" max="12" width="12.7109375" style="83" customWidth="1"/>
    <col min="13" max="14" width="14.140625" style="83" customWidth="1"/>
    <col min="15" max="15" width="13" style="83" customWidth="1"/>
    <col min="16" max="16" width="14.140625" style="83" customWidth="1"/>
    <col min="17" max="17" width="15" style="83" customWidth="1"/>
    <col min="18" max="18" width="15.28515625" style="83" customWidth="1"/>
    <col min="19" max="19" width="12.7109375" style="83" hidden="1" customWidth="1"/>
    <col min="20" max="20" width="19.42578125" style="83" customWidth="1"/>
    <col min="21" max="21" width="13.42578125" style="83" bestFit="1" customWidth="1"/>
    <col min="22" max="22" width="11.5703125" style="83" bestFit="1" customWidth="1"/>
    <col min="23" max="23" width="14.140625" style="83" bestFit="1" customWidth="1"/>
    <col min="24" max="16384" width="11.42578125" style="83"/>
  </cols>
  <sheetData>
    <row r="1" spans="2:26" s="74" customFormat="1" x14ac:dyDescent="0.2"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 t="s">
        <v>159</v>
      </c>
      <c r="R1" s="74" t="s">
        <v>191</v>
      </c>
    </row>
    <row r="2" spans="2:26" s="78" customFormat="1" x14ac:dyDescent="0.2">
      <c r="B2" s="76" t="s">
        <v>0</v>
      </c>
      <c r="C2" s="76" t="s">
        <v>47</v>
      </c>
      <c r="D2" s="76" t="s">
        <v>1</v>
      </c>
      <c r="E2" s="76" t="s">
        <v>34</v>
      </c>
      <c r="F2" s="76" t="s">
        <v>35</v>
      </c>
      <c r="G2" s="76" t="s">
        <v>36</v>
      </c>
      <c r="H2" s="76" t="s">
        <v>37</v>
      </c>
      <c r="I2" s="76" t="s">
        <v>38</v>
      </c>
      <c r="J2" s="76" t="s">
        <v>39</v>
      </c>
      <c r="K2" s="76" t="s">
        <v>40</v>
      </c>
      <c r="L2" s="76" t="s">
        <v>41</v>
      </c>
      <c r="M2" s="76" t="s">
        <v>42</v>
      </c>
      <c r="N2" s="76" t="s">
        <v>43</v>
      </c>
      <c r="O2" s="76" t="s">
        <v>44</v>
      </c>
      <c r="P2" s="76" t="s">
        <v>45</v>
      </c>
      <c r="Q2" s="76" t="s">
        <v>46</v>
      </c>
      <c r="R2" s="76" t="s">
        <v>46</v>
      </c>
      <c r="S2" s="77"/>
    </row>
    <row r="3" spans="2:26" s="78" customFormat="1" x14ac:dyDescent="0.2">
      <c r="B3" s="79">
        <v>1</v>
      </c>
      <c r="C3" s="79"/>
      <c r="D3" s="79" t="s">
        <v>6</v>
      </c>
      <c r="E3" s="73">
        <f>SUM(E4:E10)</f>
        <v>1920539.6700000002</v>
      </c>
      <c r="F3" s="73">
        <f t="shared" ref="F3:O3" si="0">SUM(F4:F10)</f>
        <v>3447530.94</v>
      </c>
      <c r="G3" s="73">
        <f>SUM(G4:G10)</f>
        <v>635852.81999999995</v>
      </c>
      <c r="H3" s="73">
        <f t="shared" si="0"/>
        <v>129806.14</v>
      </c>
      <c r="I3" s="73">
        <f t="shared" si="0"/>
        <v>236077.51</v>
      </c>
      <c r="J3" s="73">
        <f t="shared" si="0"/>
        <v>1524705.98</v>
      </c>
      <c r="K3" s="73">
        <f t="shared" si="0"/>
        <v>3677647.22</v>
      </c>
      <c r="L3" s="73">
        <f t="shared" si="0"/>
        <v>1094678.08</v>
      </c>
      <c r="M3" s="73">
        <f t="shared" si="0"/>
        <v>1006484.48</v>
      </c>
      <c r="N3" s="73">
        <f t="shared" si="0"/>
        <v>519402.47000000003</v>
      </c>
      <c r="O3" s="73">
        <f t="shared" si="0"/>
        <v>1931013.85</v>
      </c>
      <c r="P3" s="73">
        <f>SUM(P4:P10)</f>
        <v>1941313.8399999999</v>
      </c>
      <c r="Q3" s="73">
        <f>SUM(E3:P3)</f>
        <v>18065053</v>
      </c>
      <c r="R3" s="73">
        <f>SUM(R4:R10)</f>
        <v>18787655.120000005</v>
      </c>
      <c r="S3" s="96"/>
      <c r="T3" s="93"/>
      <c r="U3" s="72"/>
    </row>
    <row r="4" spans="2:26" s="78" customFormat="1" ht="15" x14ac:dyDescent="0.25">
      <c r="B4" s="80">
        <v>1</v>
      </c>
      <c r="C4" s="80">
        <v>12</v>
      </c>
      <c r="D4" s="81" t="s">
        <v>160</v>
      </c>
      <c r="E4" s="82">
        <v>1288562</v>
      </c>
      <c r="F4" s="82">
        <v>1095572</v>
      </c>
      <c r="G4" s="82">
        <v>210257</v>
      </c>
      <c r="H4" s="82">
        <v>28331</v>
      </c>
      <c r="I4" s="82">
        <v>48234</v>
      </c>
      <c r="J4" s="82">
        <v>266426</v>
      </c>
      <c r="K4" s="82">
        <v>198999</v>
      </c>
      <c r="L4" s="82">
        <v>122642</v>
      </c>
      <c r="M4" s="82">
        <v>28275</v>
      </c>
      <c r="N4" s="82">
        <v>52981</v>
      </c>
      <c r="O4" s="82">
        <v>52981</v>
      </c>
      <c r="P4" s="82">
        <v>52981</v>
      </c>
      <c r="Q4" s="82">
        <f>SUM(E4:P4)</f>
        <v>3446241</v>
      </c>
      <c r="R4" s="82">
        <f>Q4*1.04</f>
        <v>3584090.64</v>
      </c>
      <c r="T4" s="93"/>
      <c r="U4"/>
      <c r="V4"/>
      <c r="W4"/>
      <c r="X4"/>
      <c r="Y4"/>
      <c r="Z4"/>
    </row>
    <row r="5" spans="2:26" s="78" customFormat="1" ht="15" x14ac:dyDescent="0.25">
      <c r="B5" s="80">
        <v>6</v>
      </c>
      <c r="C5" s="80">
        <v>17</v>
      </c>
      <c r="D5" s="81" t="s">
        <v>161</v>
      </c>
      <c r="E5" s="82">
        <v>352253.35</v>
      </c>
      <c r="F5" s="82">
        <v>1898631.5</v>
      </c>
      <c r="G5" s="82">
        <v>317162.46999999997</v>
      </c>
      <c r="H5" s="82">
        <v>80708.479999999996</v>
      </c>
      <c r="I5" s="82">
        <v>159656.73000000001</v>
      </c>
      <c r="J5" s="82">
        <v>1095966.8500000001</v>
      </c>
      <c r="K5" s="82">
        <v>3345049.83</v>
      </c>
      <c r="L5" s="82">
        <v>930754.51</v>
      </c>
      <c r="M5" s="82">
        <v>946404.88</v>
      </c>
      <c r="N5" s="82">
        <v>384279.63</v>
      </c>
      <c r="O5" s="82">
        <f>384279.63+1163865.76</f>
        <v>1548145.3900000001</v>
      </c>
      <c r="P5" s="82">
        <f>384279.63+1163865.75</f>
        <v>1548145.38</v>
      </c>
      <c r="Q5" s="82">
        <f t="shared" ref="Q5:Q12" si="1">SUM(E5:P5)</f>
        <v>12607159.000000004</v>
      </c>
      <c r="R5" s="82">
        <f t="shared" ref="R5:R62" si="2">Q5*1.04</f>
        <v>13111445.360000005</v>
      </c>
      <c r="T5" s="93"/>
      <c r="U5" s="93"/>
      <c r="V5" s="1"/>
      <c r="W5" s="2"/>
      <c r="X5"/>
      <c r="Y5"/>
      <c r="Z5"/>
    </row>
    <row r="6" spans="2:26" s="78" customFormat="1" ht="15" x14ac:dyDescent="0.25">
      <c r="B6" s="80">
        <v>7</v>
      </c>
      <c r="C6" s="80">
        <v>17</v>
      </c>
      <c r="D6" s="81" t="s">
        <v>162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0</v>
      </c>
      <c r="P6" s="82">
        <v>0</v>
      </c>
      <c r="Q6" s="82">
        <f t="shared" si="1"/>
        <v>0</v>
      </c>
      <c r="R6" s="82">
        <f t="shared" si="2"/>
        <v>0</v>
      </c>
      <c r="T6" s="93"/>
      <c r="U6" s="93"/>
      <c r="V6"/>
      <c r="W6" s="2"/>
      <c r="X6"/>
      <c r="Y6"/>
      <c r="Z6"/>
    </row>
    <row r="7" spans="2:26" s="78" customFormat="1" x14ac:dyDescent="0.2">
      <c r="B7" s="80">
        <v>3</v>
      </c>
      <c r="C7" s="80">
        <v>11</v>
      </c>
      <c r="D7" s="81" t="s">
        <v>163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f t="shared" si="1"/>
        <v>0</v>
      </c>
      <c r="R7" s="82">
        <f t="shared" si="2"/>
        <v>0</v>
      </c>
      <c r="T7" s="93"/>
      <c r="U7" s="93"/>
      <c r="W7" s="94"/>
    </row>
    <row r="8" spans="2:26" s="78" customFormat="1" x14ac:dyDescent="0.2">
      <c r="B8" s="80">
        <v>4</v>
      </c>
      <c r="C8" s="80">
        <v>11</v>
      </c>
      <c r="D8" s="81" t="s">
        <v>164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f t="shared" si="1"/>
        <v>0</v>
      </c>
      <c r="R8" s="82">
        <f t="shared" si="2"/>
        <v>0</v>
      </c>
      <c r="T8" s="93"/>
      <c r="U8" s="93"/>
      <c r="W8" s="94"/>
    </row>
    <row r="9" spans="2:26" s="78" customFormat="1" ht="15" x14ac:dyDescent="0.25">
      <c r="B9" s="80">
        <v>2</v>
      </c>
      <c r="C9" s="80">
        <v>12</v>
      </c>
      <c r="D9" s="81" t="s">
        <v>165</v>
      </c>
      <c r="E9" s="82">
        <v>2860.85</v>
      </c>
      <c r="F9" s="82">
        <v>20521</v>
      </c>
      <c r="G9" s="82">
        <v>8294.7199999999993</v>
      </c>
      <c r="H9" s="82">
        <v>152.66</v>
      </c>
      <c r="I9" s="82">
        <v>1447.51</v>
      </c>
      <c r="J9" s="82">
        <v>28377.71</v>
      </c>
      <c r="K9" s="82">
        <v>39083.67</v>
      </c>
      <c r="L9" s="82">
        <v>-103162.43</v>
      </c>
      <c r="M9" s="82">
        <v>13361.6</v>
      </c>
      <c r="N9" s="82">
        <v>18604.080000000002</v>
      </c>
      <c r="O9" s="82">
        <f>18604.08+247745.62</f>
        <v>266349.7</v>
      </c>
      <c r="P9" s="82">
        <f>18604.08+247745.62</f>
        <v>266349.7</v>
      </c>
      <c r="Q9" s="82">
        <f t="shared" si="1"/>
        <v>562240.77</v>
      </c>
      <c r="R9" s="82">
        <f t="shared" si="2"/>
        <v>584730.40080000006</v>
      </c>
      <c r="T9" s="93"/>
      <c r="U9" s="93"/>
      <c r="V9" s="1"/>
      <c r="W9" s="2"/>
    </row>
    <row r="10" spans="2:26" s="78" customFormat="1" x14ac:dyDescent="0.2">
      <c r="B10" s="80">
        <v>5</v>
      </c>
      <c r="C10" s="80"/>
      <c r="D10" s="81" t="s">
        <v>166</v>
      </c>
      <c r="E10" s="82">
        <v>276863.46999999997</v>
      </c>
      <c r="F10" s="82">
        <v>432806.44</v>
      </c>
      <c r="G10" s="82">
        <v>100138.63</v>
      </c>
      <c r="H10" s="82">
        <v>20614</v>
      </c>
      <c r="I10" s="82">
        <v>26739.27</v>
      </c>
      <c r="J10" s="82">
        <v>133935.42000000001</v>
      </c>
      <c r="K10" s="82">
        <v>94514.72</v>
      </c>
      <c r="L10" s="82">
        <v>144444</v>
      </c>
      <c r="M10" s="82">
        <v>18443</v>
      </c>
      <c r="N10" s="82">
        <v>63537.760000000002</v>
      </c>
      <c r="O10" s="82">
        <v>63537.760000000002</v>
      </c>
      <c r="P10" s="82">
        <f>63537.76+10300</f>
        <v>73837.760000000009</v>
      </c>
      <c r="Q10" s="82">
        <f>SUM(E10:P10)</f>
        <v>1449412.23</v>
      </c>
      <c r="R10" s="82">
        <f t="shared" si="2"/>
        <v>1507388.7191999999</v>
      </c>
      <c r="T10" s="93"/>
      <c r="W10" s="94"/>
    </row>
    <row r="11" spans="2:26" s="85" customFormat="1" x14ac:dyDescent="0.2">
      <c r="B11" s="79">
        <v>3</v>
      </c>
      <c r="C11" s="79"/>
      <c r="D11" s="79" t="s">
        <v>3</v>
      </c>
      <c r="E11" s="79">
        <f>E12</f>
        <v>0</v>
      </c>
      <c r="F11" s="79">
        <f t="shared" ref="F11:Q11" si="3">F12</f>
        <v>0</v>
      </c>
      <c r="G11" s="79">
        <f t="shared" si="3"/>
        <v>0</v>
      </c>
      <c r="H11" s="79">
        <f t="shared" si="3"/>
        <v>0</v>
      </c>
      <c r="I11" s="79">
        <f t="shared" si="3"/>
        <v>0</v>
      </c>
      <c r="J11" s="79">
        <f t="shared" si="3"/>
        <v>0</v>
      </c>
      <c r="K11" s="79">
        <f t="shared" si="3"/>
        <v>0</v>
      </c>
      <c r="L11" s="79">
        <f t="shared" si="3"/>
        <v>0</v>
      </c>
      <c r="M11" s="79">
        <f t="shared" si="3"/>
        <v>0</v>
      </c>
      <c r="N11" s="79">
        <f t="shared" si="3"/>
        <v>0</v>
      </c>
      <c r="O11" s="79">
        <f t="shared" si="3"/>
        <v>0</v>
      </c>
      <c r="P11" s="84">
        <f t="shared" si="3"/>
        <v>17392</v>
      </c>
      <c r="Q11" s="84">
        <f t="shared" si="3"/>
        <v>17392</v>
      </c>
      <c r="R11" s="84">
        <f>R12</f>
        <v>18087.68</v>
      </c>
      <c r="W11" s="95"/>
    </row>
    <row r="12" spans="2:26" s="86" customFormat="1" x14ac:dyDescent="0.2">
      <c r="B12" s="80">
        <v>1</v>
      </c>
      <c r="C12" s="80">
        <v>31</v>
      </c>
      <c r="D12" s="80" t="s">
        <v>4</v>
      </c>
      <c r="E12" s="80">
        <v>0</v>
      </c>
      <c r="F12" s="91">
        <v>0</v>
      </c>
      <c r="G12" s="82"/>
      <c r="H12" s="80"/>
      <c r="I12" s="80"/>
      <c r="J12" s="82"/>
      <c r="K12" s="82"/>
      <c r="L12" s="80"/>
      <c r="M12" s="80"/>
      <c r="N12" s="80"/>
      <c r="O12" s="80"/>
      <c r="P12" s="80">
        <v>17392</v>
      </c>
      <c r="Q12" s="82">
        <f t="shared" si="1"/>
        <v>17392</v>
      </c>
      <c r="R12" s="82">
        <f t="shared" si="2"/>
        <v>18087.68</v>
      </c>
    </row>
    <row r="13" spans="2:26" s="85" customFormat="1" x14ac:dyDescent="0.2">
      <c r="B13" s="79">
        <v>4</v>
      </c>
      <c r="C13" s="79"/>
      <c r="D13" s="79" t="s">
        <v>5</v>
      </c>
      <c r="E13" s="73">
        <f>SUM(E14:E25)</f>
        <v>355397.29000000004</v>
      </c>
      <c r="F13" s="73">
        <f t="shared" ref="F13:O13" si="4">SUM(F14:F25)</f>
        <v>953698.08000000007</v>
      </c>
      <c r="G13" s="73">
        <f t="shared" si="4"/>
        <v>524004.39</v>
      </c>
      <c r="H13" s="73">
        <f t="shared" si="4"/>
        <v>103208.1</v>
      </c>
      <c r="I13" s="73">
        <f t="shared" si="4"/>
        <v>578045.12</v>
      </c>
      <c r="J13" s="73">
        <f t="shared" si="4"/>
        <v>234116.96000000002</v>
      </c>
      <c r="K13" s="73">
        <f t="shared" si="4"/>
        <v>246916.84000000003</v>
      </c>
      <c r="L13" s="73">
        <f t="shared" si="4"/>
        <v>597248.4</v>
      </c>
      <c r="M13" s="73">
        <f t="shared" si="4"/>
        <v>81785.31</v>
      </c>
      <c r="N13" s="73">
        <f t="shared" si="4"/>
        <v>134230.74</v>
      </c>
      <c r="O13" s="73">
        <f t="shared" si="4"/>
        <v>380865.12300000002</v>
      </c>
      <c r="P13" s="73">
        <f>SUM(P14:P25)</f>
        <v>2101119.1529999999</v>
      </c>
      <c r="Q13" s="73">
        <f>SUM(E13:P13)</f>
        <v>6290635.506000001</v>
      </c>
      <c r="R13" s="73">
        <f>SUM(R14:R25)</f>
        <v>6542260.9262399999</v>
      </c>
      <c r="T13" s="97"/>
    </row>
    <row r="14" spans="2:26" s="86" customFormat="1" x14ac:dyDescent="0.2">
      <c r="B14" s="80">
        <v>13</v>
      </c>
      <c r="C14" s="80">
        <v>45</v>
      </c>
      <c r="D14" s="81" t="s">
        <v>167</v>
      </c>
      <c r="E14" s="82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f>SUM($E14:$N14)/10</f>
        <v>0</v>
      </c>
      <c r="P14" s="91">
        <v>5775.67</v>
      </c>
      <c r="Q14" s="82">
        <f t="shared" ref="Q14:Q25" si="5">SUM(E14:P14)</f>
        <v>5775.67</v>
      </c>
      <c r="R14" s="82">
        <f t="shared" si="2"/>
        <v>6006.6968000000006</v>
      </c>
      <c r="T14" s="97"/>
    </row>
    <row r="15" spans="2:26" s="86" customFormat="1" x14ac:dyDescent="0.2">
      <c r="B15" s="80">
        <v>2</v>
      </c>
      <c r="C15" s="80">
        <v>43</v>
      </c>
      <c r="D15" s="81" t="s">
        <v>168</v>
      </c>
      <c r="E15" s="82">
        <v>292609.51</v>
      </c>
      <c r="F15" s="91">
        <v>535229.80000000005</v>
      </c>
      <c r="G15" s="91">
        <v>385341.96</v>
      </c>
      <c r="H15" s="91">
        <v>83458.7</v>
      </c>
      <c r="I15" s="91">
        <v>562697.17000000004</v>
      </c>
      <c r="J15" s="91">
        <v>45468.82</v>
      </c>
      <c r="K15" s="91">
        <v>135549.45000000001</v>
      </c>
      <c r="L15" s="91">
        <v>120726.74</v>
      </c>
      <c r="M15" s="91">
        <v>33148.54</v>
      </c>
      <c r="N15" s="91">
        <v>69562.09</v>
      </c>
      <c r="O15" s="91">
        <f t="shared" ref="O15:O25" si="6">SUM($E15:$N15)/10</f>
        <v>226379.27800000002</v>
      </c>
      <c r="P15" s="91">
        <f>SUM($E15:$N15)/10</f>
        <v>226379.27800000002</v>
      </c>
      <c r="Q15" s="82">
        <f t="shared" si="5"/>
        <v>2716551.3360000001</v>
      </c>
      <c r="R15" s="82">
        <f t="shared" si="2"/>
        <v>2825213.3894400001</v>
      </c>
      <c r="T15" s="97"/>
    </row>
    <row r="16" spans="2:26" s="86" customFormat="1" x14ac:dyDescent="0.2">
      <c r="B16" s="80">
        <v>14</v>
      </c>
      <c r="C16" s="80">
        <v>45</v>
      </c>
      <c r="D16" s="81" t="s">
        <v>169</v>
      </c>
      <c r="E16" s="82">
        <v>13166.96</v>
      </c>
      <c r="F16" s="91">
        <v>216232.1</v>
      </c>
      <c r="G16" s="91">
        <v>22808.87</v>
      </c>
      <c r="H16" s="91">
        <v>0</v>
      </c>
      <c r="I16" s="91">
        <v>4987.62</v>
      </c>
      <c r="J16" s="91">
        <v>146615.98000000001</v>
      </c>
      <c r="K16" s="91">
        <v>66578.55</v>
      </c>
      <c r="L16" s="91">
        <v>445534.46</v>
      </c>
      <c r="M16" s="91">
        <v>2181.0100000000002</v>
      </c>
      <c r="N16" s="91">
        <v>17487.689999999999</v>
      </c>
      <c r="O16" s="91">
        <f t="shared" si="6"/>
        <v>93559.323999999993</v>
      </c>
      <c r="P16" s="91">
        <f t="shared" ref="P16:P25" si="7">SUM($E16:$N16)/10</f>
        <v>93559.323999999993</v>
      </c>
      <c r="Q16" s="82">
        <f t="shared" si="5"/>
        <v>1122711.888</v>
      </c>
      <c r="R16" s="82">
        <f t="shared" si="2"/>
        <v>1167620.3635200001</v>
      </c>
      <c r="T16" s="97"/>
    </row>
    <row r="17" spans="2:20" s="86" customFormat="1" x14ac:dyDescent="0.2">
      <c r="B17" s="80">
        <v>4</v>
      </c>
      <c r="C17" s="80">
        <v>44</v>
      </c>
      <c r="D17" s="81" t="s">
        <v>170</v>
      </c>
      <c r="E17" s="82">
        <v>26216.880000000001</v>
      </c>
      <c r="F17" s="91">
        <v>31324.14</v>
      </c>
      <c r="G17" s="91">
        <v>23324.959999999999</v>
      </c>
      <c r="H17" s="91">
        <v>5851.8</v>
      </c>
      <c r="I17" s="91">
        <v>5877.32</v>
      </c>
      <c r="J17" s="91">
        <v>35375.97</v>
      </c>
      <c r="K17" s="91">
        <v>36964.639999999999</v>
      </c>
      <c r="L17" s="91">
        <f>32507.2-1520</f>
        <v>30987.200000000001</v>
      </c>
      <c r="M17" s="91">
        <v>29964.880000000001</v>
      </c>
      <c r="N17" s="91">
        <v>47180.959999999999</v>
      </c>
      <c r="O17" s="91">
        <f t="shared" si="6"/>
        <v>27306.875000000007</v>
      </c>
      <c r="P17" s="91">
        <f>(SUM($E17:$N17)/10)+6622.15</f>
        <v>33929.025000000009</v>
      </c>
      <c r="Q17" s="82">
        <f t="shared" si="5"/>
        <v>334304.65000000008</v>
      </c>
      <c r="R17" s="82">
        <f t="shared" si="2"/>
        <v>347676.83600000007</v>
      </c>
      <c r="T17" s="97"/>
    </row>
    <row r="18" spans="2:20" s="86" customFormat="1" x14ac:dyDescent="0.2">
      <c r="B18" s="80">
        <v>3</v>
      </c>
      <c r="C18" s="80">
        <v>44</v>
      </c>
      <c r="D18" s="81" t="s">
        <v>171</v>
      </c>
      <c r="E18" s="82">
        <v>0</v>
      </c>
      <c r="F18" s="91">
        <v>11640</v>
      </c>
      <c r="G18" s="91">
        <v>62550</v>
      </c>
      <c r="H18" s="91">
        <v>13897.6</v>
      </c>
      <c r="I18" s="91">
        <v>4483.01</v>
      </c>
      <c r="J18" s="91">
        <v>0</v>
      </c>
      <c r="K18" s="91">
        <v>0</v>
      </c>
      <c r="L18" s="91">
        <v>0</v>
      </c>
      <c r="M18" s="91">
        <v>9926.0400000000009</v>
      </c>
      <c r="N18" s="91">
        <v>0</v>
      </c>
      <c r="O18" s="91">
        <f t="shared" si="6"/>
        <v>10249.664999999999</v>
      </c>
      <c r="P18" s="91">
        <f>(SUM($E18:$N18)/10)+1707856.21</f>
        <v>1718105.875</v>
      </c>
      <c r="Q18" s="82">
        <f t="shared" si="5"/>
        <v>1830852.19</v>
      </c>
      <c r="R18" s="82">
        <f t="shared" si="2"/>
        <v>1904086.2775999999</v>
      </c>
      <c r="T18" s="97"/>
    </row>
    <row r="19" spans="2:20" s="86" customFormat="1" x14ac:dyDescent="0.2">
      <c r="B19" s="80">
        <v>8</v>
      </c>
      <c r="C19" s="80">
        <v>43</v>
      </c>
      <c r="D19" s="81" t="s">
        <v>172</v>
      </c>
      <c r="E19" s="82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f t="shared" si="6"/>
        <v>0</v>
      </c>
      <c r="P19" s="91">
        <f t="shared" si="7"/>
        <v>0</v>
      </c>
      <c r="Q19" s="82">
        <f t="shared" si="5"/>
        <v>0</v>
      </c>
      <c r="R19" s="82">
        <f t="shared" si="2"/>
        <v>0</v>
      </c>
      <c r="T19" s="97"/>
    </row>
    <row r="20" spans="2:20" s="86" customFormat="1" x14ac:dyDescent="0.2">
      <c r="B20" s="80">
        <v>7</v>
      </c>
      <c r="C20" s="80">
        <v>43</v>
      </c>
      <c r="D20" s="81" t="s">
        <v>173</v>
      </c>
      <c r="E20" s="82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82">
        <f t="shared" si="5"/>
        <v>0</v>
      </c>
      <c r="R20" s="82">
        <f t="shared" si="2"/>
        <v>0</v>
      </c>
      <c r="T20" s="97"/>
    </row>
    <row r="21" spans="2:20" s="86" customFormat="1" x14ac:dyDescent="0.2">
      <c r="B21" s="80">
        <v>5</v>
      </c>
      <c r="C21" s="80">
        <v>44</v>
      </c>
      <c r="D21" s="81" t="s">
        <v>174</v>
      </c>
      <c r="E21" s="82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f t="shared" si="6"/>
        <v>0</v>
      </c>
      <c r="P21" s="91">
        <f t="shared" si="7"/>
        <v>0</v>
      </c>
      <c r="Q21" s="82">
        <f t="shared" si="5"/>
        <v>0</v>
      </c>
      <c r="R21" s="82">
        <f t="shared" si="2"/>
        <v>0</v>
      </c>
      <c r="T21" s="97"/>
    </row>
    <row r="22" spans="2:20" s="86" customFormat="1" x14ac:dyDescent="0.2">
      <c r="B22" s="80">
        <v>9</v>
      </c>
      <c r="C22" s="80">
        <v>43</v>
      </c>
      <c r="D22" s="81" t="s">
        <v>175</v>
      </c>
      <c r="E22" s="82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5000</v>
      </c>
      <c r="N22" s="91">
        <v>0</v>
      </c>
      <c r="O22" s="91">
        <f t="shared" si="6"/>
        <v>500</v>
      </c>
      <c r="P22" s="91">
        <f t="shared" si="7"/>
        <v>500</v>
      </c>
      <c r="Q22" s="82">
        <f t="shared" si="5"/>
        <v>6000</v>
      </c>
      <c r="R22" s="82">
        <f t="shared" si="2"/>
        <v>6240</v>
      </c>
      <c r="T22" s="97"/>
    </row>
    <row r="23" spans="2:20" s="86" customFormat="1" x14ac:dyDescent="0.2">
      <c r="B23" s="80">
        <v>11</v>
      </c>
      <c r="C23" s="80">
        <v>44</v>
      </c>
      <c r="D23" s="81" t="s">
        <v>176</v>
      </c>
      <c r="E23" s="82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f t="shared" si="6"/>
        <v>0</v>
      </c>
      <c r="P23" s="91">
        <f t="shared" si="7"/>
        <v>0</v>
      </c>
      <c r="Q23" s="82">
        <f t="shared" si="5"/>
        <v>0</v>
      </c>
      <c r="R23" s="82">
        <f t="shared" si="2"/>
        <v>0</v>
      </c>
      <c r="T23" s="97"/>
    </row>
    <row r="24" spans="2:20" s="86" customFormat="1" x14ac:dyDescent="0.2">
      <c r="B24" s="80">
        <v>10</v>
      </c>
      <c r="C24" s="80">
        <v>41</v>
      </c>
      <c r="D24" s="81" t="s">
        <v>177</v>
      </c>
      <c r="E24" s="82">
        <v>1521.82</v>
      </c>
      <c r="F24" s="91">
        <v>159272.04</v>
      </c>
      <c r="G24" s="91">
        <v>29978.6</v>
      </c>
      <c r="H24" s="91">
        <v>0</v>
      </c>
      <c r="I24" s="91">
        <v>0</v>
      </c>
      <c r="J24" s="91">
        <v>0</v>
      </c>
      <c r="K24" s="91">
        <v>7824.2</v>
      </c>
      <c r="L24" s="91">
        <v>0</v>
      </c>
      <c r="M24" s="91">
        <v>1564.84</v>
      </c>
      <c r="N24" s="91">
        <v>0</v>
      </c>
      <c r="O24" s="91">
        <f t="shared" si="6"/>
        <v>20016.150000000001</v>
      </c>
      <c r="P24" s="91">
        <f t="shared" si="7"/>
        <v>20016.150000000001</v>
      </c>
      <c r="Q24" s="82">
        <f t="shared" si="5"/>
        <v>240193.80000000002</v>
      </c>
      <c r="R24" s="82">
        <f t="shared" si="2"/>
        <v>249801.55200000003</v>
      </c>
      <c r="T24" s="97"/>
    </row>
    <row r="25" spans="2:20" s="86" customFormat="1" x14ac:dyDescent="0.2">
      <c r="B25" s="80">
        <v>6</v>
      </c>
      <c r="C25" s="80">
        <v>44</v>
      </c>
      <c r="D25" s="81" t="s">
        <v>178</v>
      </c>
      <c r="E25" s="82">
        <v>21882.12</v>
      </c>
      <c r="F25" s="91">
        <v>0</v>
      </c>
      <c r="G25" s="91">
        <v>0</v>
      </c>
      <c r="H25" s="91">
        <v>0</v>
      </c>
      <c r="I25" s="91">
        <v>0</v>
      </c>
      <c r="J25" s="91">
        <v>6656.19</v>
      </c>
      <c r="K25" s="91">
        <v>0</v>
      </c>
      <c r="L25" s="91">
        <v>0</v>
      </c>
      <c r="M25" s="91">
        <v>0</v>
      </c>
      <c r="N25" s="91">
        <v>0</v>
      </c>
      <c r="O25" s="91">
        <f t="shared" si="6"/>
        <v>2853.8309999999997</v>
      </c>
      <c r="P25" s="91">
        <f t="shared" si="7"/>
        <v>2853.8309999999997</v>
      </c>
      <c r="Q25" s="82">
        <f t="shared" si="5"/>
        <v>34245.971999999994</v>
      </c>
      <c r="R25" s="82">
        <f t="shared" si="2"/>
        <v>35615.810879999997</v>
      </c>
      <c r="T25" s="97"/>
    </row>
    <row r="26" spans="2:20" s="86" customFormat="1" x14ac:dyDescent="0.2">
      <c r="B26" s="79">
        <v>5</v>
      </c>
      <c r="C26" s="79"/>
      <c r="D26" s="79" t="s">
        <v>33</v>
      </c>
      <c r="E26" s="73">
        <f t="shared" ref="E26:O26" si="8">SUM(E27:E31)</f>
        <v>152461.58000000002</v>
      </c>
      <c r="F26" s="73">
        <f t="shared" si="8"/>
        <v>82492.7</v>
      </c>
      <c r="G26" s="73">
        <f t="shared" si="8"/>
        <v>127821.88</v>
      </c>
      <c r="H26" s="73">
        <f t="shared" si="8"/>
        <v>100714.43</v>
      </c>
      <c r="I26" s="73">
        <f t="shared" si="8"/>
        <v>109709.89</v>
      </c>
      <c r="J26" s="73">
        <f t="shared" si="8"/>
        <v>69870.009999999995</v>
      </c>
      <c r="K26" s="73">
        <f t="shared" si="8"/>
        <v>56700.47</v>
      </c>
      <c r="L26" s="73">
        <f t="shared" si="8"/>
        <v>62759.56</v>
      </c>
      <c r="M26" s="73">
        <f t="shared" si="8"/>
        <v>33456.33</v>
      </c>
      <c r="N26" s="73">
        <f t="shared" si="8"/>
        <v>69312.929999999993</v>
      </c>
      <c r="O26" s="73">
        <f t="shared" si="8"/>
        <v>0</v>
      </c>
      <c r="P26" s="73">
        <f>SUM(P27:P31)</f>
        <v>8567.2199999999993</v>
      </c>
      <c r="Q26" s="73">
        <f>SUM(E26:P26)</f>
        <v>873867</v>
      </c>
      <c r="R26" s="73">
        <f>SUM(R27:R31)</f>
        <v>908821.68</v>
      </c>
      <c r="T26" s="97"/>
    </row>
    <row r="27" spans="2:20" s="86" customFormat="1" x14ac:dyDescent="0.2">
      <c r="B27" s="80">
        <v>2</v>
      </c>
      <c r="C27" s="80">
        <v>51</v>
      </c>
      <c r="D27" s="80" t="s">
        <v>179</v>
      </c>
      <c r="E27" s="90">
        <v>68337</v>
      </c>
      <c r="F27" s="91">
        <v>44737</v>
      </c>
      <c r="G27" s="91">
        <v>67496</v>
      </c>
      <c r="H27" s="91">
        <v>20763</v>
      </c>
      <c r="I27" s="91">
        <v>61653</v>
      </c>
      <c r="J27" s="91">
        <v>43666</v>
      </c>
      <c r="K27" s="91">
        <v>27620</v>
      </c>
      <c r="L27" s="91">
        <v>33652</v>
      </c>
      <c r="M27" s="91">
        <v>19140</v>
      </c>
      <c r="N27" s="91">
        <v>49948</v>
      </c>
      <c r="O27" s="91">
        <v>0</v>
      </c>
      <c r="P27" s="91">
        <v>8567.2199999999993</v>
      </c>
      <c r="Q27" s="82">
        <f t="shared" ref="Q27:Q31" si="9">SUM(E27:P27)</f>
        <v>445579.22</v>
      </c>
      <c r="R27" s="82">
        <f t="shared" si="2"/>
        <v>463402.38880000002</v>
      </c>
      <c r="T27" s="97"/>
    </row>
    <row r="28" spans="2:20" s="86" customFormat="1" x14ac:dyDescent="0.2">
      <c r="B28" s="80">
        <v>1</v>
      </c>
      <c r="C28" s="80">
        <v>62</v>
      </c>
      <c r="D28" s="80" t="s">
        <v>180</v>
      </c>
      <c r="E28" s="90">
        <v>39525</v>
      </c>
      <c r="F28" s="91">
        <v>10000</v>
      </c>
      <c r="G28" s="91">
        <v>31150</v>
      </c>
      <c r="H28" s="91">
        <v>0</v>
      </c>
      <c r="I28" s="91">
        <v>10200</v>
      </c>
      <c r="J28" s="91">
        <v>1000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82">
        <f t="shared" si="9"/>
        <v>91875</v>
      </c>
      <c r="R28" s="82">
        <f t="shared" si="2"/>
        <v>95550</v>
      </c>
      <c r="T28" s="97"/>
    </row>
    <row r="29" spans="2:20" s="86" customFormat="1" x14ac:dyDescent="0.2">
      <c r="B29" s="80">
        <v>3</v>
      </c>
      <c r="C29" s="80">
        <v>51</v>
      </c>
      <c r="D29" s="80" t="s">
        <v>181</v>
      </c>
      <c r="E29" s="90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82">
        <f t="shared" si="9"/>
        <v>0</v>
      </c>
      <c r="R29" s="82">
        <f t="shared" si="2"/>
        <v>0</v>
      </c>
      <c r="T29" s="97"/>
    </row>
    <row r="30" spans="2:20" s="86" customFormat="1" x14ac:dyDescent="0.2">
      <c r="B30" s="80">
        <v>5</v>
      </c>
      <c r="C30" s="80">
        <v>51</v>
      </c>
      <c r="D30" s="80" t="s">
        <v>182</v>
      </c>
      <c r="E30" s="90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82">
        <f t="shared" si="9"/>
        <v>0</v>
      </c>
      <c r="R30" s="82">
        <f t="shared" si="2"/>
        <v>0</v>
      </c>
      <c r="T30" s="97"/>
    </row>
    <row r="31" spans="2:20" s="86" customFormat="1" x14ac:dyDescent="0.2">
      <c r="B31" s="80">
        <v>4</v>
      </c>
      <c r="C31" s="80">
        <v>51</v>
      </c>
      <c r="D31" s="80" t="s">
        <v>183</v>
      </c>
      <c r="E31" s="90">
        <v>44599.58</v>
      </c>
      <c r="F31" s="91">
        <v>27755.7</v>
      </c>
      <c r="G31" s="91">
        <v>29175.88</v>
      </c>
      <c r="H31" s="91">
        <v>79951.429999999993</v>
      </c>
      <c r="I31" s="91">
        <v>37856.89</v>
      </c>
      <c r="J31" s="91">
        <v>25204.01</v>
      </c>
      <c r="K31" s="91">
        <v>29080.47</v>
      </c>
      <c r="L31" s="91">
        <v>29107.56</v>
      </c>
      <c r="M31" s="91">
        <v>14316.33</v>
      </c>
      <c r="N31" s="91">
        <v>19364.93</v>
      </c>
      <c r="O31" s="91">
        <v>0</v>
      </c>
      <c r="P31" s="91">
        <v>0</v>
      </c>
      <c r="Q31" s="82">
        <f t="shared" si="9"/>
        <v>336412.77999999997</v>
      </c>
      <c r="R31" s="82">
        <f t="shared" si="2"/>
        <v>349869.29119999998</v>
      </c>
      <c r="T31" s="97"/>
    </row>
    <row r="32" spans="2:20" s="85" customFormat="1" x14ac:dyDescent="0.2">
      <c r="B32" s="79">
        <v>6</v>
      </c>
      <c r="C32" s="79"/>
      <c r="D32" s="79" t="s">
        <v>2</v>
      </c>
      <c r="E32" s="73">
        <f t="shared" ref="E32:O32" si="10">SUM(E33:E36)</f>
        <v>1094794.81</v>
      </c>
      <c r="F32" s="73">
        <f t="shared" si="10"/>
        <v>1108691.56</v>
      </c>
      <c r="G32" s="73">
        <f t="shared" si="10"/>
        <v>1525343.35</v>
      </c>
      <c r="H32" s="73">
        <f t="shared" si="10"/>
        <v>472656.92000000004</v>
      </c>
      <c r="I32" s="73">
        <f t="shared" si="10"/>
        <v>733415.32000000007</v>
      </c>
      <c r="J32" s="73">
        <f t="shared" si="10"/>
        <v>3523429.82</v>
      </c>
      <c r="K32" s="73">
        <f t="shared" si="10"/>
        <v>3848042.96</v>
      </c>
      <c r="L32" s="73">
        <f t="shared" si="10"/>
        <v>1247610.75</v>
      </c>
      <c r="M32" s="73">
        <f t="shared" si="10"/>
        <v>305010.86000000004</v>
      </c>
      <c r="N32" s="73">
        <f t="shared" si="10"/>
        <v>919946.14999999991</v>
      </c>
      <c r="O32" s="73">
        <f t="shared" si="10"/>
        <v>0</v>
      </c>
      <c r="P32" s="73">
        <f>SUM(P33:P36)</f>
        <v>144444.5</v>
      </c>
      <c r="Q32" s="73">
        <f>SUM(E32:P32)</f>
        <v>14923387.000000002</v>
      </c>
      <c r="R32" s="73">
        <f>SUM(R33:R36)</f>
        <v>15520322.48</v>
      </c>
      <c r="T32" s="97"/>
    </row>
    <row r="33" spans="2:26" s="86" customFormat="1" ht="15" x14ac:dyDescent="0.25">
      <c r="B33" s="80">
        <v>8</v>
      </c>
      <c r="C33" s="80">
        <v>61</v>
      </c>
      <c r="D33" s="81" t="s">
        <v>184</v>
      </c>
      <c r="E33" s="82">
        <v>579900.80000000005</v>
      </c>
      <c r="F33" s="91">
        <v>617852.6</v>
      </c>
      <c r="G33" s="91">
        <v>521235</v>
      </c>
      <c r="H33" s="91">
        <v>197900</v>
      </c>
      <c r="I33" s="91">
        <v>195339</v>
      </c>
      <c r="J33" s="91">
        <v>168559</v>
      </c>
      <c r="K33" s="91">
        <v>268708.7</v>
      </c>
      <c r="L33" s="91">
        <v>94686.2</v>
      </c>
      <c r="M33" s="91">
        <v>269715.02</v>
      </c>
      <c r="N33" s="91">
        <v>173730.2</v>
      </c>
      <c r="O33" s="91">
        <v>0</v>
      </c>
      <c r="P33" s="91">
        <v>144444.5</v>
      </c>
      <c r="Q33" s="82">
        <f t="shared" ref="Q33:Q36" si="11">SUM(E33:P33)</f>
        <v>3232071.0200000005</v>
      </c>
      <c r="R33" s="82">
        <f t="shared" si="2"/>
        <v>3361353.8608000008</v>
      </c>
      <c r="T33" s="97"/>
      <c r="U33"/>
      <c r="V33" s="83"/>
      <c r="W33" s="83"/>
      <c r="X33" s="83"/>
      <c r="Y33" s="83"/>
      <c r="Z33" s="83"/>
    </row>
    <row r="34" spans="2:26" s="86" customFormat="1" x14ac:dyDescent="0.2">
      <c r="B34" s="80">
        <v>2</v>
      </c>
      <c r="C34" s="80">
        <v>61</v>
      </c>
      <c r="D34" s="81" t="s">
        <v>185</v>
      </c>
      <c r="E34" s="82">
        <v>469325</v>
      </c>
      <c r="F34" s="91">
        <v>294787.52</v>
      </c>
      <c r="G34" s="91">
        <v>51000</v>
      </c>
      <c r="H34" s="91">
        <v>255721.92</v>
      </c>
      <c r="I34" s="91">
        <v>379491</v>
      </c>
      <c r="J34" s="91">
        <v>3000</v>
      </c>
      <c r="K34" s="91">
        <v>873270.5</v>
      </c>
      <c r="L34" s="91">
        <v>794491</v>
      </c>
      <c r="M34" s="91">
        <v>21000</v>
      </c>
      <c r="N34" s="91">
        <v>6000</v>
      </c>
      <c r="O34" s="91">
        <v>0</v>
      </c>
      <c r="P34" s="91">
        <v>0</v>
      </c>
      <c r="Q34" s="82">
        <f t="shared" si="11"/>
        <v>3148086.94</v>
      </c>
      <c r="R34" s="82">
        <f t="shared" si="2"/>
        <v>3274010.4176000003</v>
      </c>
      <c r="T34" s="97"/>
      <c r="U34" s="83"/>
      <c r="V34" s="83"/>
      <c r="W34" s="83"/>
      <c r="X34" s="83"/>
      <c r="Y34" s="83"/>
      <c r="Z34" s="83"/>
    </row>
    <row r="35" spans="2:26" s="86" customFormat="1" x14ac:dyDescent="0.2">
      <c r="B35" s="80">
        <v>7</v>
      </c>
      <c r="C35" s="80">
        <v>61</v>
      </c>
      <c r="D35" s="81" t="s">
        <v>186</v>
      </c>
      <c r="E35" s="82">
        <v>0</v>
      </c>
      <c r="F35" s="91">
        <v>0</v>
      </c>
      <c r="G35" s="91">
        <v>4280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82">
        <f t="shared" si="11"/>
        <v>4280</v>
      </c>
      <c r="R35" s="82">
        <f t="shared" si="2"/>
        <v>4451.2</v>
      </c>
      <c r="T35" s="97"/>
      <c r="U35" s="83"/>
      <c r="V35" s="83"/>
      <c r="W35" s="83"/>
      <c r="X35" s="83"/>
      <c r="Y35" s="83"/>
      <c r="Z35" s="83"/>
    </row>
    <row r="36" spans="2:26" s="86" customFormat="1" x14ac:dyDescent="0.2">
      <c r="B36" s="80">
        <v>1</v>
      </c>
      <c r="C36" s="80">
        <v>61</v>
      </c>
      <c r="D36" s="81" t="s">
        <v>187</v>
      </c>
      <c r="E36" s="82">
        <v>45569.01</v>
      </c>
      <c r="F36" s="91">
        <v>196051.44</v>
      </c>
      <c r="G36" s="91">
        <v>948828.35</v>
      </c>
      <c r="H36" s="91">
        <v>19035</v>
      </c>
      <c r="I36" s="91">
        <v>158585.32</v>
      </c>
      <c r="J36" s="91">
        <v>3351870.82</v>
      </c>
      <c r="K36" s="91">
        <v>2706063.76</v>
      </c>
      <c r="L36" s="91">
        <v>358433.55</v>
      </c>
      <c r="M36" s="91">
        <v>14295.84</v>
      </c>
      <c r="N36" s="91">
        <v>740215.95</v>
      </c>
      <c r="O36" s="91">
        <v>0</v>
      </c>
      <c r="P36" s="91">
        <v>0</v>
      </c>
      <c r="Q36" s="82">
        <f t="shared" si="11"/>
        <v>8538949.0399999991</v>
      </c>
      <c r="R36" s="82">
        <f t="shared" si="2"/>
        <v>8880507.0015999991</v>
      </c>
      <c r="T36" s="97"/>
      <c r="U36" s="83"/>
      <c r="V36" s="83"/>
      <c r="W36" s="83"/>
      <c r="X36" s="83"/>
      <c r="Y36" s="83"/>
      <c r="Z36" s="83"/>
    </row>
    <row r="37" spans="2:26" s="85" customFormat="1" x14ac:dyDescent="0.2">
      <c r="B37" s="79">
        <v>8</v>
      </c>
      <c r="C37" s="79"/>
      <c r="D37" s="79" t="s">
        <v>10</v>
      </c>
      <c r="E37" s="73">
        <f t="shared" ref="E37:O37" si="12">SUM(E38:E62)</f>
        <v>7885891.7600000007</v>
      </c>
      <c r="F37" s="73">
        <f t="shared" ref="F37:N37" si="13">SUM(F38:F62)</f>
        <v>10885013.85</v>
      </c>
      <c r="G37" s="73">
        <f t="shared" si="13"/>
        <v>12015442.739999998</v>
      </c>
      <c r="H37" s="73">
        <f t="shared" si="13"/>
        <v>8460373.25</v>
      </c>
      <c r="I37" s="73">
        <f t="shared" si="13"/>
        <v>7053065.2699999996</v>
      </c>
      <c r="J37" s="73">
        <f t="shared" si="13"/>
        <v>5887555.1099999994</v>
      </c>
      <c r="K37" s="73">
        <f t="shared" si="13"/>
        <v>22308700.895</v>
      </c>
      <c r="L37" s="73">
        <f t="shared" si="13"/>
        <v>8778665.5199999996</v>
      </c>
      <c r="M37" s="73">
        <f t="shared" si="13"/>
        <v>13193483.67</v>
      </c>
      <c r="N37" s="73">
        <f t="shared" si="13"/>
        <v>13671521.030000001</v>
      </c>
      <c r="O37" s="73">
        <f t="shared" si="12"/>
        <v>7354291.3399999999</v>
      </c>
      <c r="P37" s="73">
        <f>SUM(P38:P62)</f>
        <v>26805151.330000002</v>
      </c>
      <c r="Q37" s="73">
        <f>SUM(E37:P37)</f>
        <v>144299155.76499999</v>
      </c>
      <c r="R37" s="73">
        <f>SUM(R38:R62)</f>
        <v>150071121.99560001</v>
      </c>
      <c r="S37" s="97">
        <f>R38+R39+R40+R41+R42+R43+R44+R45+R46+R58+R59+R60</f>
        <v>37205065.1752</v>
      </c>
      <c r="T37" s="97"/>
      <c r="U37" s="83"/>
      <c r="V37" s="83"/>
      <c r="W37" s="83"/>
      <c r="X37" s="83"/>
      <c r="Y37" s="83"/>
      <c r="Z37" s="83"/>
    </row>
    <row r="38" spans="2:26" s="86" customFormat="1" x14ac:dyDescent="0.2">
      <c r="B38" s="80">
        <v>1</v>
      </c>
      <c r="C38" s="80">
        <v>81</v>
      </c>
      <c r="D38" s="92" t="s">
        <v>21</v>
      </c>
      <c r="E38" s="82">
        <v>1266657.56</v>
      </c>
      <c r="F38" s="82">
        <v>1906080.29</v>
      </c>
      <c r="G38" s="82">
        <v>1271038.3700000001</v>
      </c>
      <c r="H38" s="82">
        <v>1829961.12</v>
      </c>
      <c r="I38" s="82">
        <v>1228308.43</v>
      </c>
      <c r="J38" s="82">
        <f>(3574322.51-1373235.71)/2</f>
        <v>1100543.3999999999</v>
      </c>
      <c r="K38" s="82">
        <f>(3574322.51-1373235.71)/2</f>
        <v>1100543.3999999999</v>
      </c>
      <c r="L38" s="82">
        <v>1422075.53</v>
      </c>
      <c r="M38" s="82">
        <v>1240374.1599999999</v>
      </c>
      <c r="N38" s="82">
        <v>2748541.86</v>
      </c>
      <c r="O38" s="82">
        <v>1207064.3700000001</v>
      </c>
      <c r="P38" s="82">
        <v>4768797.62</v>
      </c>
      <c r="Q38" s="82">
        <f t="shared" ref="Q38:Q62" si="14">SUM(E38:P38)</f>
        <v>21089986.109999999</v>
      </c>
      <c r="R38" s="82">
        <f t="shared" si="2"/>
        <v>21933585.554400001</v>
      </c>
      <c r="T38" s="97"/>
      <c r="U38" s="98"/>
    </row>
    <row r="39" spans="2:26" s="86" customFormat="1" x14ac:dyDescent="0.2">
      <c r="B39" s="80">
        <v>2</v>
      </c>
      <c r="C39" s="80">
        <v>81</v>
      </c>
      <c r="D39" s="92" t="s">
        <v>22</v>
      </c>
      <c r="E39" s="82">
        <v>355422.48</v>
      </c>
      <c r="F39" s="82">
        <v>769468.56</v>
      </c>
      <c r="G39" s="82">
        <v>358115.69</v>
      </c>
      <c r="H39" s="82">
        <v>766054.86</v>
      </c>
      <c r="I39" s="82">
        <v>0</v>
      </c>
      <c r="J39" s="82">
        <v>0</v>
      </c>
      <c r="K39" s="82">
        <v>931808</v>
      </c>
      <c r="L39" s="82">
        <v>718911.41</v>
      </c>
      <c r="M39" s="82">
        <v>0</v>
      </c>
      <c r="N39" s="82">
        <v>1323525.6299999999</v>
      </c>
      <c r="O39" s="82">
        <v>72053.84</v>
      </c>
      <c r="P39" s="82">
        <v>1323525.6299999999</v>
      </c>
      <c r="Q39" s="82">
        <f t="shared" si="14"/>
        <v>6618886.0999999996</v>
      </c>
      <c r="R39" s="82">
        <f t="shared" si="2"/>
        <v>6883641.5439999998</v>
      </c>
      <c r="T39" s="97"/>
      <c r="U39" s="98"/>
    </row>
    <row r="40" spans="2:26" s="86" customFormat="1" x14ac:dyDescent="0.2">
      <c r="B40" s="80">
        <v>3</v>
      </c>
      <c r="C40" s="80">
        <v>81</v>
      </c>
      <c r="D40" s="92" t="s">
        <v>18</v>
      </c>
      <c r="E40" s="82">
        <v>93856.34</v>
      </c>
      <c r="F40" s="82">
        <v>41618.480000000003</v>
      </c>
      <c r="G40" s="82">
        <v>41611.629999999997</v>
      </c>
      <c r="H40" s="82">
        <v>180126.84</v>
      </c>
      <c r="I40" s="82">
        <v>40675.46</v>
      </c>
      <c r="J40" s="82">
        <v>0</v>
      </c>
      <c r="K40" s="82">
        <v>137563.71</v>
      </c>
      <c r="L40" s="82">
        <v>97800.43</v>
      </c>
      <c r="M40" s="82">
        <v>0</v>
      </c>
      <c r="N40" s="82">
        <v>133816.13</v>
      </c>
      <c r="O40" s="82">
        <v>48750.93</v>
      </c>
      <c r="P40" s="82">
        <v>133816.13</v>
      </c>
      <c r="Q40" s="82">
        <f t="shared" si="14"/>
        <v>949636.08000000019</v>
      </c>
      <c r="R40" s="82">
        <f t="shared" si="2"/>
        <v>987621.52320000029</v>
      </c>
      <c r="T40" s="97"/>
      <c r="U40" s="98"/>
    </row>
    <row r="41" spans="2:26" s="86" customFormat="1" x14ac:dyDescent="0.2">
      <c r="B41" s="80">
        <v>4</v>
      </c>
      <c r="C41" s="80">
        <v>81</v>
      </c>
      <c r="D41" s="92" t="s">
        <v>27</v>
      </c>
      <c r="E41" s="82">
        <v>39383.550000000003</v>
      </c>
      <c r="F41" s="82">
        <v>44950</v>
      </c>
      <c r="G41" s="82"/>
      <c r="H41" s="82">
        <f>38914.71-22784.97</f>
        <v>16129.739999999998</v>
      </c>
      <c r="I41" s="82">
        <v>0</v>
      </c>
      <c r="J41" s="82">
        <v>0</v>
      </c>
      <c r="K41" s="82">
        <v>49783.22</v>
      </c>
      <c r="L41" s="82">
        <v>37690.839999999997</v>
      </c>
      <c r="M41" s="82">
        <v>0</v>
      </c>
      <c r="N41" s="82">
        <v>64730.68</v>
      </c>
      <c r="O41" s="82">
        <v>146619.24</v>
      </c>
      <c r="P41" s="82">
        <v>64730.68</v>
      </c>
      <c r="Q41" s="82">
        <f t="shared" si="14"/>
        <v>464017.95</v>
      </c>
      <c r="R41" s="82">
        <f t="shared" si="2"/>
        <v>482578.66800000001</v>
      </c>
      <c r="T41" s="97"/>
      <c r="U41" s="98"/>
    </row>
    <row r="42" spans="2:26" s="86" customFormat="1" x14ac:dyDescent="0.2">
      <c r="B42" s="80">
        <v>5</v>
      </c>
      <c r="C42" s="80">
        <v>81</v>
      </c>
      <c r="D42" s="92" t="s">
        <v>15</v>
      </c>
      <c r="E42" s="82">
        <v>8658.2900000000009</v>
      </c>
      <c r="F42" s="82">
        <v>8658.2900000000009</v>
      </c>
      <c r="G42" s="82">
        <v>8658.2900000000009</v>
      </c>
      <c r="H42" s="82"/>
      <c r="I42" s="82">
        <v>8545.09</v>
      </c>
      <c r="J42" s="82">
        <v>0</v>
      </c>
      <c r="K42" s="82">
        <v>0</v>
      </c>
      <c r="L42" s="82">
        <v>0</v>
      </c>
      <c r="M42" s="82">
        <v>0</v>
      </c>
      <c r="N42" s="82">
        <v>8545.09</v>
      </c>
      <c r="O42" s="82">
        <v>7967.47</v>
      </c>
      <c r="P42" s="82">
        <v>8545.09</v>
      </c>
      <c r="Q42" s="82">
        <f t="shared" si="14"/>
        <v>59577.61</v>
      </c>
      <c r="R42" s="82">
        <f t="shared" si="2"/>
        <v>61960.714400000004</v>
      </c>
      <c r="T42" s="97"/>
      <c r="U42" s="98"/>
    </row>
    <row r="43" spans="2:26" s="86" customFormat="1" x14ac:dyDescent="0.2">
      <c r="B43" s="80">
        <v>6</v>
      </c>
      <c r="C43" s="80">
        <v>81</v>
      </c>
      <c r="D43" s="92" t="s">
        <v>26</v>
      </c>
      <c r="E43" s="82">
        <v>40347.919999999998</v>
      </c>
      <c r="F43" s="82">
        <v>82235.820000000007</v>
      </c>
      <c r="G43" s="82">
        <v>29591.07</v>
      </c>
      <c r="H43" s="82">
        <v>27248.92</v>
      </c>
      <c r="I43" s="82">
        <v>28501.35</v>
      </c>
      <c r="J43" s="82">
        <v>0</v>
      </c>
      <c r="K43" s="82">
        <v>67619.259999999995</v>
      </c>
      <c r="L43" s="82">
        <v>36810.58</v>
      </c>
      <c r="M43" s="82">
        <v>55675.05</v>
      </c>
      <c r="N43" s="82">
        <v>125482.01</v>
      </c>
      <c r="O43" s="82">
        <v>40940.980000000003</v>
      </c>
      <c r="P43" s="82">
        <v>125482.01</v>
      </c>
      <c r="Q43" s="82">
        <f t="shared" si="14"/>
        <v>659934.97</v>
      </c>
      <c r="R43" s="82">
        <f t="shared" si="2"/>
        <v>686332.36879999994</v>
      </c>
      <c r="T43" s="97"/>
      <c r="U43" s="98"/>
    </row>
    <row r="44" spans="2:26" s="86" customFormat="1" x14ac:dyDescent="0.2">
      <c r="B44" s="80">
        <v>7</v>
      </c>
      <c r="C44" s="80">
        <v>81</v>
      </c>
      <c r="D44" s="92" t="s">
        <v>32</v>
      </c>
      <c r="E44" s="82">
        <v>97737.44</v>
      </c>
      <c r="F44" s="82">
        <v>98635.25</v>
      </c>
      <c r="G44" s="82">
        <v>99854.13</v>
      </c>
      <c r="H44" s="82">
        <v>87286.57</v>
      </c>
      <c r="I44" s="82">
        <v>94112.54</v>
      </c>
      <c r="J44" s="82">
        <v>0</v>
      </c>
      <c r="K44" s="82">
        <v>139584.35</v>
      </c>
      <c r="L44" s="82">
        <v>69928.89</v>
      </c>
      <c r="M44" s="82">
        <v>0</v>
      </c>
      <c r="N44" s="82">
        <v>153761.34</v>
      </c>
      <c r="O44" s="82">
        <v>173385.52</v>
      </c>
      <c r="P44" s="82">
        <v>153761.34</v>
      </c>
      <c r="Q44" s="82">
        <f t="shared" si="14"/>
        <v>1168047.3700000001</v>
      </c>
      <c r="R44" s="82">
        <f t="shared" si="2"/>
        <v>1214769.2648000002</v>
      </c>
      <c r="T44" s="97"/>
      <c r="U44" s="98"/>
    </row>
    <row r="45" spans="2:26" s="86" customFormat="1" x14ac:dyDescent="0.2">
      <c r="B45" s="80">
        <v>11</v>
      </c>
      <c r="C45" s="80">
        <v>83</v>
      </c>
      <c r="D45" s="92" t="s">
        <v>11</v>
      </c>
      <c r="E45" s="82">
        <v>25402.61</v>
      </c>
      <c r="F45" s="82">
        <v>52023.74</v>
      </c>
      <c r="G45" s="82">
        <v>16941.599999999999</v>
      </c>
      <c r="H45" s="82">
        <v>8236.2199999999993</v>
      </c>
      <c r="I45" s="82">
        <v>781.92</v>
      </c>
      <c r="J45" s="82">
        <v>0</v>
      </c>
      <c r="K45" s="82">
        <v>3961.73</v>
      </c>
      <c r="L45" s="82">
        <v>3179.81</v>
      </c>
      <c r="M45" s="82">
        <v>3701.09</v>
      </c>
      <c r="N45" s="82">
        <v>6516</v>
      </c>
      <c r="O45" s="82">
        <v>214609.81</v>
      </c>
      <c r="P45" s="82">
        <v>6516</v>
      </c>
      <c r="Q45" s="82">
        <f t="shared" si="14"/>
        <v>341870.53</v>
      </c>
      <c r="R45" s="82">
        <f t="shared" si="2"/>
        <v>355545.35120000003</v>
      </c>
      <c r="T45" s="97"/>
      <c r="U45" s="98"/>
    </row>
    <row r="46" spans="2:26" s="86" customFormat="1" x14ac:dyDescent="0.2">
      <c r="B46" s="80">
        <v>12</v>
      </c>
      <c r="C46" s="80">
        <v>83</v>
      </c>
      <c r="D46" s="92" t="s">
        <v>31</v>
      </c>
      <c r="E46" s="82">
        <v>12112.73</v>
      </c>
      <c r="F46" s="82">
        <v>12634.62</v>
      </c>
      <c r="G46" s="82">
        <v>11029.77</v>
      </c>
      <c r="H46" s="82">
        <v>6978.85</v>
      </c>
      <c r="I46" s="82">
        <v>-2408.1</v>
      </c>
      <c r="J46" s="82">
        <v>0</v>
      </c>
      <c r="K46" s="82">
        <v>4471.07</v>
      </c>
      <c r="L46" s="82">
        <v>5453.95</v>
      </c>
      <c r="M46" s="82">
        <v>5751.9</v>
      </c>
      <c r="N46" s="82">
        <v>12071.69</v>
      </c>
      <c r="O46" s="82">
        <v>1038702.35</v>
      </c>
      <c r="P46" s="82">
        <v>12071.69</v>
      </c>
      <c r="Q46" s="82">
        <f t="shared" si="14"/>
        <v>1118870.52</v>
      </c>
      <c r="R46" s="82">
        <f t="shared" si="2"/>
        <v>1163625.3408000001</v>
      </c>
      <c r="T46" s="97"/>
      <c r="U46" s="98"/>
    </row>
    <row r="47" spans="2:26" s="86" customFormat="1" x14ac:dyDescent="0.2">
      <c r="B47" s="80">
        <v>41</v>
      </c>
      <c r="C47" s="80">
        <v>82</v>
      </c>
      <c r="D47" s="92" t="s">
        <v>14</v>
      </c>
      <c r="E47" s="82">
        <v>397973.3</v>
      </c>
      <c r="F47" s="82">
        <v>397973.3</v>
      </c>
      <c r="G47" s="82">
        <v>397973.3</v>
      </c>
      <c r="H47" s="82">
        <v>397973.3</v>
      </c>
      <c r="I47" s="82">
        <v>397973.3</v>
      </c>
      <c r="J47" s="82">
        <v>0</v>
      </c>
      <c r="K47" s="82">
        <v>795946.6</v>
      </c>
      <c r="L47" s="82">
        <v>397973.3</v>
      </c>
      <c r="M47" s="82">
        <v>397973.3</v>
      </c>
      <c r="N47" s="82">
        <v>795946.6</v>
      </c>
      <c r="O47" s="82">
        <v>0</v>
      </c>
      <c r="P47" s="82">
        <v>795946.6</v>
      </c>
      <c r="Q47" s="82">
        <f t="shared" si="14"/>
        <v>5173652.8999999994</v>
      </c>
      <c r="R47" s="82">
        <f t="shared" si="2"/>
        <v>5380599.0159999998</v>
      </c>
      <c r="T47" s="97"/>
      <c r="U47" s="98"/>
    </row>
    <row r="48" spans="2:26" s="86" customFormat="1" x14ac:dyDescent="0.2">
      <c r="B48" s="80">
        <v>61</v>
      </c>
      <c r="C48" s="80">
        <v>82</v>
      </c>
      <c r="D48" s="92" t="s">
        <v>25</v>
      </c>
      <c r="E48" s="82">
        <v>2201449.16</v>
      </c>
      <c r="F48" s="82">
        <v>4556785.54</v>
      </c>
      <c r="G48" s="82">
        <v>2278392.77</v>
      </c>
      <c r="H48" s="82">
        <v>76943.61</v>
      </c>
      <c r="I48" s="82">
        <v>2278392.77</v>
      </c>
      <c r="J48" s="82">
        <v>2278392.77</v>
      </c>
      <c r="K48" s="82">
        <v>2278392.77</v>
      </c>
      <c r="L48" s="82">
        <v>2278392.77</v>
      </c>
      <c r="M48" s="82">
        <v>2278392.77</v>
      </c>
      <c r="N48" s="82">
        <v>2278392.77</v>
      </c>
      <c r="O48" s="82">
        <v>2278392.77</v>
      </c>
      <c r="P48" s="82">
        <v>2278392.77</v>
      </c>
      <c r="Q48" s="82">
        <f t="shared" si="14"/>
        <v>27340713.239999998</v>
      </c>
      <c r="R48" s="82">
        <f t="shared" si="2"/>
        <v>28434341.7696</v>
      </c>
      <c r="T48" s="97"/>
      <c r="U48" s="98"/>
    </row>
    <row r="49" spans="2:26" s="86" customFormat="1" x14ac:dyDescent="0.2">
      <c r="B49" s="80">
        <v>71</v>
      </c>
      <c r="C49" s="80">
        <v>83</v>
      </c>
      <c r="D49" s="92" t="s">
        <v>24</v>
      </c>
      <c r="E49" s="82">
        <v>430724.95</v>
      </c>
      <c r="F49" s="82"/>
      <c r="G49" s="82">
        <v>429247.57</v>
      </c>
      <c r="H49" s="82">
        <v>425031.96</v>
      </c>
      <c r="I49" s="82">
        <v>441677.54</v>
      </c>
      <c r="J49" s="82">
        <v>422613.95</v>
      </c>
      <c r="K49" s="82">
        <f>(10845227.89-10000000)/2</f>
        <v>422613.9450000003</v>
      </c>
      <c r="L49" s="82">
        <v>419813.51</v>
      </c>
      <c r="M49" s="82">
        <v>305029.93</v>
      </c>
      <c r="N49" s="82">
        <v>3249677.97</v>
      </c>
      <c r="O49" s="82">
        <f>305029.93+143900.74</f>
        <v>448930.67</v>
      </c>
      <c r="P49" s="82">
        <f>305029.93+9155406.97</f>
        <v>9460436.9000000004</v>
      </c>
      <c r="Q49" s="100">
        <f t="shared" si="14"/>
        <v>16455798.895000001</v>
      </c>
      <c r="R49" s="82">
        <f t="shared" si="2"/>
        <v>17114030.850800004</v>
      </c>
      <c r="T49" s="97"/>
      <c r="U49" s="98"/>
    </row>
    <row r="50" spans="2:26" s="86" customFormat="1" x14ac:dyDescent="0.2">
      <c r="B50" s="80">
        <v>72</v>
      </c>
      <c r="C50" s="80">
        <v>83</v>
      </c>
      <c r="D50" s="92" t="s">
        <v>16</v>
      </c>
      <c r="E50" s="82">
        <v>0</v>
      </c>
      <c r="F50" s="82">
        <v>478755.11</v>
      </c>
      <c r="G50" s="82"/>
      <c r="H50" s="82">
        <v>2201057.66</v>
      </c>
      <c r="I50" s="82"/>
      <c r="J50" s="82"/>
      <c r="K50" s="82"/>
      <c r="L50" s="82"/>
      <c r="M50" s="82"/>
      <c r="N50" s="82"/>
      <c r="O50" s="82"/>
      <c r="P50" s="82">
        <v>1722302.23</v>
      </c>
      <c r="Q50" s="100">
        <f t="shared" si="14"/>
        <v>4402115</v>
      </c>
      <c r="R50" s="82">
        <f t="shared" si="2"/>
        <v>4578199.6000000006</v>
      </c>
      <c r="T50" s="97"/>
      <c r="U50" s="98"/>
    </row>
    <row r="51" spans="2:26" s="86" customFormat="1" x14ac:dyDescent="0.2">
      <c r="B51" s="80">
        <v>73</v>
      </c>
      <c r="C51" s="80">
        <v>83</v>
      </c>
      <c r="D51" s="92" t="s">
        <v>20</v>
      </c>
      <c r="E51" s="82">
        <v>526919.59</v>
      </c>
      <c r="F51" s="82">
        <v>753946.11</v>
      </c>
      <c r="G51" s="82">
        <v>508324.23</v>
      </c>
      <c r="H51" s="82">
        <v>757029.21</v>
      </c>
      <c r="I51" s="82">
        <v>527364.5</v>
      </c>
      <c r="J51" s="82">
        <v>409131.6</v>
      </c>
      <c r="K51" s="82">
        <v>658239.63</v>
      </c>
      <c r="L51" s="82">
        <v>585320.6</v>
      </c>
      <c r="M51" s="82">
        <v>574121.72</v>
      </c>
      <c r="N51" s="82">
        <v>555242.05000000005</v>
      </c>
      <c r="O51" s="82"/>
      <c r="P51" s="82">
        <v>1223133.76</v>
      </c>
      <c r="Q51" s="100">
        <f t="shared" si="14"/>
        <v>7078772.9999999991</v>
      </c>
      <c r="R51" s="82">
        <f t="shared" si="2"/>
        <v>7361923.919999999</v>
      </c>
      <c r="S51" s="99"/>
      <c r="T51" s="97"/>
      <c r="U51" s="98"/>
      <c r="V51" s="72"/>
      <c r="W51" s="72"/>
      <c r="X51" s="72"/>
      <c r="Y51" s="72"/>
      <c r="Z51" s="72"/>
    </row>
    <row r="52" spans="2:26" s="86" customFormat="1" x14ac:dyDescent="0.2">
      <c r="B52" s="80">
        <v>75</v>
      </c>
      <c r="C52" s="80">
        <v>83</v>
      </c>
      <c r="D52" s="92" t="s">
        <v>30</v>
      </c>
      <c r="E52" s="82">
        <v>707824.51</v>
      </c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>
        <v>1792175.49</v>
      </c>
      <c r="Q52" s="100">
        <f t="shared" si="14"/>
        <v>2500000</v>
      </c>
      <c r="R52" s="82">
        <f t="shared" si="2"/>
        <v>2600000</v>
      </c>
      <c r="T52" s="97"/>
      <c r="U52" s="98"/>
      <c r="V52" s="99"/>
    </row>
    <row r="53" spans="2:26" s="86" customFormat="1" x14ac:dyDescent="0.2">
      <c r="B53" s="80">
        <v>102</v>
      </c>
      <c r="C53" s="80">
        <v>83</v>
      </c>
      <c r="D53" s="92" t="s">
        <v>190</v>
      </c>
      <c r="E53" s="82">
        <v>0</v>
      </c>
      <c r="F53" s="82"/>
      <c r="G53" s="82"/>
      <c r="H53" s="82"/>
      <c r="I53" s="82"/>
      <c r="J53" s="82"/>
      <c r="K53" s="82">
        <v>12400000</v>
      </c>
      <c r="L53" s="82"/>
      <c r="M53" s="82"/>
      <c r="N53" s="82"/>
      <c r="O53" s="82"/>
      <c r="P53" s="82"/>
      <c r="Q53" s="100">
        <f t="shared" si="14"/>
        <v>12400000</v>
      </c>
      <c r="R53" s="82">
        <f t="shared" si="2"/>
        <v>12896000</v>
      </c>
      <c r="T53" s="97"/>
      <c r="U53" s="98"/>
      <c r="V53" s="72"/>
      <c r="W53" s="72"/>
      <c r="X53" s="72"/>
      <c r="Y53" s="72"/>
      <c r="Z53" s="72"/>
    </row>
    <row r="54" spans="2:26" s="86" customFormat="1" x14ac:dyDescent="0.2">
      <c r="B54" s="80">
        <v>108</v>
      </c>
      <c r="C54" s="80">
        <v>83</v>
      </c>
      <c r="D54" s="81" t="s">
        <v>189</v>
      </c>
      <c r="E54" s="82">
        <v>0</v>
      </c>
      <c r="F54" s="82"/>
      <c r="G54" s="82"/>
      <c r="H54" s="82"/>
      <c r="I54" s="82">
        <v>0</v>
      </c>
      <c r="J54" s="82">
        <v>0</v>
      </c>
      <c r="K54" s="82">
        <v>0</v>
      </c>
      <c r="L54" s="82">
        <v>710780.56</v>
      </c>
      <c r="M54" s="82">
        <v>0</v>
      </c>
      <c r="N54" s="82">
        <v>0</v>
      </c>
      <c r="O54" s="82"/>
      <c r="P54" s="82"/>
      <c r="Q54" s="100">
        <f t="shared" si="14"/>
        <v>710780.56</v>
      </c>
      <c r="R54" s="82">
        <f t="shared" si="2"/>
        <v>739211.78240000003</v>
      </c>
      <c r="T54" s="97"/>
      <c r="U54" s="98"/>
      <c r="V54" s="72"/>
      <c r="W54" s="72"/>
      <c r="X54" s="72"/>
      <c r="Y54" s="72"/>
      <c r="Z54" s="72"/>
    </row>
    <row r="55" spans="2:26" s="86" customFormat="1" x14ac:dyDescent="0.2">
      <c r="B55" s="80">
        <v>109</v>
      </c>
      <c r="C55" s="80"/>
      <c r="D55" s="92" t="s">
        <v>29</v>
      </c>
      <c r="E55" s="82">
        <v>0</v>
      </c>
      <c r="F55" s="82"/>
      <c r="G55" s="82"/>
      <c r="H55" s="82"/>
      <c r="I55" s="82">
        <v>0</v>
      </c>
      <c r="J55" s="82">
        <v>0</v>
      </c>
      <c r="K55" s="82">
        <v>0</v>
      </c>
      <c r="L55" s="82">
        <v>0</v>
      </c>
      <c r="M55" s="82">
        <v>1540740.36</v>
      </c>
      <c r="N55" s="82">
        <v>0</v>
      </c>
      <c r="O55" s="82"/>
      <c r="P55" s="82"/>
      <c r="Q55" s="100">
        <f t="shared" si="14"/>
        <v>1540740.36</v>
      </c>
      <c r="R55" s="82">
        <f t="shared" si="2"/>
        <v>1602369.9744000002</v>
      </c>
      <c r="T55" s="97"/>
      <c r="U55" s="98"/>
    </row>
    <row r="56" spans="2:26" s="86" customFormat="1" x14ac:dyDescent="0.2">
      <c r="B56" s="80">
        <v>112</v>
      </c>
      <c r="C56" s="80"/>
      <c r="D56" s="92" t="s">
        <v>23</v>
      </c>
      <c r="E56" s="82">
        <v>0</v>
      </c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00">
        <f t="shared" si="14"/>
        <v>0</v>
      </c>
      <c r="R56" s="82">
        <f t="shared" si="2"/>
        <v>0</v>
      </c>
      <c r="T56" s="97"/>
      <c r="U56" s="98"/>
    </row>
    <row r="57" spans="2:26" s="86" customFormat="1" x14ac:dyDescent="0.2">
      <c r="B57" s="80">
        <v>122</v>
      </c>
      <c r="C57" s="80">
        <v>83</v>
      </c>
      <c r="D57" s="92" t="s">
        <v>19</v>
      </c>
      <c r="E57" s="82">
        <v>1676873.39</v>
      </c>
      <c r="F57" s="82">
        <v>1676873.39</v>
      </c>
      <c r="G57" s="82">
        <v>1676873.39</v>
      </c>
      <c r="H57" s="82">
        <v>1676873.39</v>
      </c>
      <c r="I57" s="82">
        <v>1676873.39</v>
      </c>
      <c r="J57" s="82">
        <v>1676873.39</v>
      </c>
      <c r="K57" s="82">
        <v>1676873.39</v>
      </c>
      <c r="L57" s="82">
        <v>1676873.39</v>
      </c>
      <c r="M57" s="82">
        <v>1676873.39</v>
      </c>
      <c r="N57" s="82">
        <v>1676873.39</v>
      </c>
      <c r="O57" s="82">
        <v>1676873.39</v>
      </c>
      <c r="P57" s="82">
        <v>1676873.39</v>
      </c>
      <c r="Q57" s="100">
        <f t="shared" si="14"/>
        <v>20122480.680000003</v>
      </c>
      <c r="R57" s="82">
        <f t="shared" si="2"/>
        <v>20927379.907200005</v>
      </c>
      <c r="T57" s="97"/>
      <c r="U57" s="98"/>
    </row>
    <row r="58" spans="2:26" s="86" customFormat="1" x14ac:dyDescent="0.2">
      <c r="B58" s="80">
        <v>124</v>
      </c>
      <c r="C58" s="80">
        <v>81</v>
      </c>
      <c r="D58" s="92" t="s">
        <v>17</v>
      </c>
      <c r="E58" s="82">
        <v>4547.9399999999996</v>
      </c>
      <c r="F58" s="82">
        <v>4276.42</v>
      </c>
      <c r="G58" s="82">
        <v>3431.93</v>
      </c>
      <c r="H58" s="82">
        <v>3441</v>
      </c>
      <c r="I58" s="82">
        <v>6776.08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/>
      <c r="P58" s="82"/>
      <c r="Q58" s="100">
        <f t="shared" si="14"/>
        <v>22473.370000000003</v>
      </c>
      <c r="R58" s="82">
        <f t="shared" si="2"/>
        <v>23372.304800000002</v>
      </c>
      <c r="T58" s="97"/>
      <c r="U58" s="98"/>
    </row>
    <row r="59" spans="2:26" s="86" customFormat="1" x14ac:dyDescent="0.2">
      <c r="B59" s="80">
        <v>126</v>
      </c>
      <c r="C59" s="80">
        <v>83</v>
      </c>
      <c r="D59" s="92" t="s">
        <v>12</v>
      </c>
      <c r="E59" s="82">
        <v>0</v>
      </c>
      <c r="F59" s="82">
        <v>98.93</v>
      </c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100">
        <f t="shared" si="14"/>
        <v>98.93</v>
      </c>
      <c r="R59" s="82">
        <f t="shared" si="2"/>
        <v>102.88720000000001</v>
      </c>
      <c r="T59" s="97"/>
      <c r="U59" s="98"/>
    </row>
    <row r="60" spans="2:26" s="86" customFormat="1" x14ac:dyDescent="0.2">
      <c r="B60" s="80">
        <v>127</v>
      </c>
      <c r="C60" s="80">
        <v>81</v>
      </c>
      <c r="D60" s="92" t="s">
        <v>13</v>
      </c>
      <c r="E60" s="82">
        <v>0</v>
      </c>
      <c r="F60" s="82"/>
      <c r="G60" s="82">
        <v>684359</v>
      </c>
      <c r="H60" s="82"/>
      <c r="I60" s="82">
        <v>325491</v>
      </c>
      <c r="J60" s="82">
        <v>0</v>
      </c>
      <c r="K60" s="82">
        <v>1641299.82</v>
      </c>
      <c r="L60" s="82">
        <v>317659.95</v>
      </c>
      <c r="M60" s="82">
        <v>0</v>
      </c>
      <c r="N60" s="82">
        <v>311891.82</v>
      </c>
      <c r="O60" s="82"/>
      <c r="P60" s="82"/>
      <c r="Q60" s="100">
        <f t="shared" si="14"/>
        <v>3280701.5900000003</v>
      </c>
      <c r="R60" s="82">
        <f t="shared" si="2"/>
        <v>3411929.6536000003</v>
      </c>
      <c r="T60" s="97"/>
      <c r="U60" s="98"/>
    </row>
    <row r="61" spans="2:26" s="86" customFormat="1" ht="15" x14ac:dyDescent="0.25">
      <c r="B61" s="80">
        <v>128</v>
      </c>
      <c r="C61" s="80">
        <v>83</v>
      </c>
      <c r="D61" s="92" t="s">
        <v>28</v>
      </c>
      <c r="E61" s="82">
        <v>0</v>
      </c>
      <c r="F61" s="82"/>
      <c r="G61" s="82">
        <v>4200000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5000000</v>
      </c>
      <c r="N61" s="82">
        <v>0</v>
      </c>
      <c r="O61" s="82"/>
      <c r="P61" s="82"/>
      <c r="Q61" s="100">
        <f t="shared" si="14"/>
        <v>9200000</v>
      </c>
      <c r="R61" s="82">
        <f t="shared" si="2"/>
        <v>9568000</v>
      </c>
      <c r="T61" s="97"/>
      <c r="U61" s="98"/>
      <c r="V61"/>
      <c r="W61"/>
      <c r="X61"/>
      <c r="Y61"/>
      <c r="Z61"/>
    </row>
    <row r="62" spans="2:26" s="86" customFormat="1" ht="15" x14ac:dyDescent="0.25">
      <c r="B62" s="80">
        <v>129</v>
      </c>
      <c r="C62" s="80"/>
      <c r="D62" s="81" t="s">
        <v>188</v>
      </c>
      <c r="E62" s="82">
        <v>0</v>
      </c>
      <c r="F62" s="82"/>
      <c r="G62" s="82"/>
      <c r="H62" s="82"/>
      <c r="I62" s="82">
        <v>0</v>
      </c>
      <c r="J62" s="82">
        <v>0</v>
      </c>
      <c r="K62" s="82">
        <v>0</v>
      </c>
      <c r="L62" s="82">
        <v>0</v>
      </c>
      <c r="M62" s="82">
        <v>114850</v>
      </c>
      <c r="N62" s="82">
        <v>226506</v>
      </c>
      <c r="O62" s="82"/>
      <c r="P62" s="82">
        <f>1600000-341356</f>
        <v>1258644</v>
      </c>
      <c r="Q62" s="100">
        <f t="shared" si="14"/>
        <v>1600000</v>
      </c>
      <c r="R62" s="82">
        <f t="shared" si="2"/>
        <v>1664000</v>
      </c>
      <c r="T62" s="97"/>
      <c r="U62" s="98"/>
      <c r="V62"/>
      <c r="W62"/>
      <c r="X62"/>
      <c r="Y62"/>
      <c r="Z62"/>
    </row>
    <row r="63" spans="2:26" s="86" customFormat="1" ht="15" x14ac:dyDescent="0.25">
      <c r="B63" s="79">
        <v>10</v>
      </c>
      <c r="C63" s="79"/>
      <c r="D63" s="79" t="s">
        <v>7</v>
      </c>
      <c r="E63" s="79">
        <f>SUM(E64:E65)</f>
        <v>0</v>
      </c>
      <c r="F63" s="79">
        <f t="shared" ref="F63:Q63" si="15">SUM(F64:F65)</f>
        <v>0</v>
      </c>
      <c r="G63" s="79">
        <f t="shared" si="15"/>
        <v>0</v>
      </c>
      <c r="H63" s="79">
        <f t="shared" si="15"/>
        <v>0</v>
      </c>
      <c r="I63" s="79">
        <f t="shared" si="15"/>
        <v>0</v>
      </c>
      <c r="J63" s="79">
        <f t="shared" si="15"/>
        <v>0</v>
      </c>
      <c r="K63" s="79">
        <f t="shared" si="15"/>
        <v>0</v>
      </c>
      <c r="L63" s="79">
        <f t="shared" si="15"/>
        <v>0</v>
      </c>
      <c r="M63" s="79">
        <f t="shared" si="15"/>
        <v>0</v>
      </c>
      <c r="N63" s="79">
        <f t="shared" si="15"/>
        <v>0</v>
      </c>
      <c r="O63" s="79">
        <f t="shared" si="15"/>
        <v>0</v>
      </c>
      <c r="P63" s="79">
        <f t="shared" si="15"/>
        <v>0</v>
      </c>
      <c r="Q63" s="79">
        <f t="shared" si="15"/>
        <v>0</v>
      </c>
      <c r="R63" s="79">
        <v>0</v>
      </c>
      <c r="T63"/>
    </row>
    <row r="64" spans="2:26" s="86" customFormat="1" x14ac:dyDescent="0.2">
      <c r="B64" s="80">
        <v>2</v>
      </c>
      <c r="C64" s="80"/>
      <c r="D64" s="80" t="s">
        <v>8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2">
        <f t="shared" ref="Q64:Q65" si="16">SUM(E64:P64)</f>
        <v>0</v>
      </c>
      <c r="R64" s="87">
        <v>0</v>
      </c>
      <c r="T64" s="83"/>
      <c r="U64" s="83"/>
      <c r="V64" s="83"/>
      <c r="W64" s="83"/>
      <c r="X64" s="83"/>
      <c r="Y64" s="83"/>
      <c r="Z64" s="83"/>
    </row>
    <row r="65" spans="2:26" s="86" customFormat="1" x14ac:dyDescent="0.2">
      <c r="B65" s="80">
        <v>1</v>
      </c>
      <c r="C65" s="80"/>
      <c r="D65" s="80" t="s">
        <v>9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2">
        <f t="shared" si="16"/>
        <v>0</v>
      </c>
      <c r="R65" s="87">
        <v>0</v>
      </c>
      <c r="T65" s="83"/>
      <c r="U65" s="83"/>
      <c r="V65" s="83"/>
      <c r="W65" s="83"/>
      <c r="X65" s="83"/>
      <c r="Y65" s="83"/>
      <c r="Z65" s="83"/>
    </row>
    <row r="67" spans="2:26" x14ac:dyDescent="0.2">
      <c r="E67" s="88">
        <f>E63+E37+E32+E26+E13+E11+E3</f>
        <v>11409085.110000001</v>
      </c>
      <c r="F67" s="88">
        <f t="shared" ref="F67:Q67" si="17">F63+F37+F32+F26+F13+F11+F3</f>
        <v>16477427.129999999</v>
      </c>
      <c r="G67" s="88">
        <f t="shared" si="17"/>
        <v>14828465.18</v>
      </c>
      <c r="H67" s="88">
        <f t="shared" si="17"/>
        <v>9266758.8399999999</v>
      </c>
      <c r="I67" s="88">
        <f t="shared" si="17"/>
        <v>8710313.1099999994</v>
      </c>
      <c r="J67" s="88">
        <f t="shared" si="17"/>
        <v>11239677.880000001</v>
      </c>
      <c r="K67" s="88">
        <f t="shared" si="17"/>
        <v>30138008.384999998</v>
      </c>
      <c r="L67" s="88">
        <f t="shared" si="17"/>
        <v>11780962.310000001</v>
      </c>
      <c r="M67" s="88">
        <f t="shared" si="17"/>
        <v>14620220.65</v>
      </c>
      <c r="N67" s="88">
        <f t="shared" si="17"/>
        <v>15314413.320000002</v>
      </c>
      <c r="O67" s="88">
        <f t="shared" si="17"/>
        <v>9666170.3129999992</v>
      </c>
      <c r="P67" s="88">
        <f t="shared" si="17"/>
        <v>31017988.043000001</v>
      </c>
      <c r="Q67" s="88">
        <f t="shared" si="17"/>
        <v>184469490.271</v>
      </c>
      <c r="R67" s="88">
        <f>R63+R37+R32+R26+R13+R11+R3</f>
        <v>191848269.88184002</v>
      </c>
    </row>
    <row r="69" spans="2:26" x14ac:dyDescent="0.2">
      <c r="I69" s="72"/>
      <c r="J69" s="72"/>
      <c r="K69" s="72"/>
      <c r="L69" s="72"/>
      <c r="M69" s="72"/>
      <c r="N69" s="72"/>
      <c r="R69" s="89"/>
    </row>
    <row r="70" spans="2:26" x14ac:dyDescent="0.2">
      <c r="H70" s="72"/>
      <c r="R70" s="88"/>
    </row>
    <row r="71" spans="2:26" x14ac:dyDescent="0.2">
      <c r="G71" s="72"/>
      <c r="I71" s="88"/>
      <c r="J71" s="88"/>
      <c r="K71" s="88"/>
      <c r="L71" s="88"/>
      <c r="M71" s="88"/>
      <c r="N71" s="8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C6C3-4DED-4FCB-9FEE-14341AC35EF9}">
  <sheetPr>
    <pageSetUpPr fitToPage="1"/>
  </sheetPr>
  <dimension ref="A1:N91"/>
  <sheetViews>
    <sheetView showGridLines="0" topLeftCell="B1" zoomScale="85" zoomScaleNormal="85" workbookViewId="0">
      <selection activeCell="G8" sqref="G8"/>
    </sheetView>
  </sheetViews>
  <sheetFormatPr baseColWidth="10" defaultColWidth="11.42578125" defaultRowHeight="12.75" x14ac:dyDescent="0.2"/>
  <cols>
    <col min="1" max="1" width="9.5703125" style="64" hidden="1" customWidth="1"/>
    <col min="2" max="2" width="2.5703125" style="4" customWidth="1"/>
    <col min="3" max="3" width="71.85546875" style="4" customWidth="1"/>
    <col min="4" max="6" width="24.28515625" style="4" hidden="1" customWidth="1"/>
    <col min="7" max="7" width="14.7109375" style="4" bestFit="1" customWidth="1"/>
    <col min="8" max="8" width="15.7109375" style="4" hidden="1" customWidth="1"/>
    <col min="9" max="9" width="41.5703125" style="4" hidden="1" customWidth="1"/>
    <col min="10" max="10" width="15.7109375" style="107" hidden="1" customWidth="1"/>
    <col min="11" max="11" width="0" style="4" hidden="1" customWidth="1"/>
    <col min="12" max="12" width="15.7109375" style="106" hidden="1" customWidth="1"/>
    <col min="13" max="13" width="18.140625" style="4" bestFit="1" customWidth="1"/>
    <col min="14" max="14" width="14.42578125" style="4" bestFit="1" customWidth="1"/>
    <col min="15" max="16384" width="11.42578125" style="4"/>
  </cols>
  <sheetData>
    <row r="1" spans="1:13" ht="18.75" customHeight="1" x14ac:dyDescent="0.2">
      <c r="F1" s="3"/>
    </row>
    <row r="2" spans="1:13" ht="20.25" customHeight="1" x14ac:dyDescent="0.2">
      <c r="B2" s="130" t="s">
        <v>157</v>
      </c>
      <c r="C2" s="130"/>
      <c r="D2" s="130"/>
      <c r="E2" s="130"/>
      <c r="F2" s="3"/>
    </row>
    <row r="3" spans="1:13" ht="20.25" customHeight="1" x14ac:dyDescent="0.2">
      <c r="B3" s="130" t="s">
        <v>192</v>
      </c>
      <c r="C3" s="130"/>
      <c r="D3" s="130"/>
      <c r="E3" s="130"/>
      <c r="F3" s="3"/>
    </row>
    <row r="4" spans="1:13" ht="12" customHeight="1" x14ac:dyDescent="0.2">
      <c r="B4" s="130" t="s">
        <v>107</v>
      </c>
      <c r="C4" s="130"/>
      <c r="D4" s="130"/>
      <c r="E4" s="130"/>
      <c r="F4" s="3"/>
    </row>
    <row r="5" spans="1:13" ht="20.25" customHeight="1" x14ac:dyDescent="0.2">
      <c r="B5" s="3"/>
      <c r="C5" s="3"/>
      <c r="D5" s="69"/>
      <c r="E5" s="69"/>
      <c r="F5" s="69"/>
      <c r="G5" s="69"/>
    </row>
    <row r="6" spans="1:13" ht="15.75" x14ac:dyDescent="0.2">
      <c r="B6" s="63" t="s">
        <v>48</v>
      </c>
      <c r="C6" s="63"/>
      <c r="D6" s="70"/>
      <c r="E6" s="70"/>
      <c r="F6" s="70"/>
      <c r="G6" s="70"/>
    </row>
    <row r="7" spans="1:13" ht="33" customHeight="1" x14ac:dyDescent="0.2">
      <c r="A7" s="65" t="s">
        <v>47</v>
      </c>
      <c r="B7" s="131" t="s">
        <v>193</v>
      </c>
      <c r="C7" s="131"/>
      <c r="D7" s="5" t="s">
        <v>158</v>
      </c>
      <c r="E7" s="6" t="s">
        <v>49</v>
      </c>
      <c r="F7" s="5" t="s">
        <v>156</v>
      </c>
      <c r="G7" s="5"/>
      <c r="I7" s="4" t="s">
        <v>194</v>
      </c>
      <c r="M7" s="123"/>
    </row>
    <row r="8" spans="1:13" s="7" customFormat="1" ht="19.5" customHeight="1" x14ac:dyDescent="0.25">
      <c r="A8" s="66"/>
      <c r="B8" s="132" t="s">
        <v>50</v>
      </c>
      <c r="C8" s="133"/>
      <c r="D8" s="53" t="e">
        <f>+D9+#REF!+D20+D23+D32+D37+D42+D52+D58+D66</f>
        <v>#REF!</v>
      </c>
      <c r="E8" s="53" t="e">
        <f>+E9+#REF!+E20+E23+E32+E37+E42+E52+E58+E66</f>
        <v>#REF!</v>
      </c>
      <c r="F8" s="53" t="e">
        <f>+F9+#REF!+F20+F23+F32+F37+F42+F52+F58+F66</f>
        <v>#REF!</v>
      </c>
      <c r="G8" s="109">
        <f>+G9+G20+G23+G32+G37+G42+G52+G58+G66</f>
        <v>424483042.45371199</v>
      </c>
      <c r="H8" s="105">
        <f>328394363*1.04</f>
        <v>341530137.52000004</v>
      </c>
      <c r="J8" s="108" t="s">
        <v>46</v>
      </c>
      <c r="L8" s="105"/>
      <c r="M8" s="105"/>
    </row>
    <row r="9" spans="1:13" s="7" customFormat="1" ht="19.5" customHeight="1" x14ac:dyDescent="0.25">
      <c r="A9" s="67">
        <v>1</v>
      </c>
      <c r="B9" s="8" t="s">
        <v>51</v>
      </c>
      <c r="C9" s="9"/>
      <c r="D9" s="10">
        <f>SUM(D10:D19)</f>
        <v>18065052.879999999</v>
      </c>
      <c r="E9" s="10">
        <f t="shared" ref="E9:G9" si="0">SUM(E10:E19)</f>
        <v>1021514807</v>
      </c>
      <c r="F9" s="10">
        <f t="shared" si="0"/>
        <v>16615640.770000003</v>
      </c>
      <c r="G9" s="110">
        <f t="shared" si="0"/>
        <v>40987090</v>
      </c>
      <c r="I9" s="7" t="s">
        <v>104</v>
      </c>
      <c r="J9" s="108">
        <v>18000000</v>
      </c>
      <c r="L9" s="105"/>
      <c r="M9" s="105"/>
    </row>
    <row r="10" spans="1:13" s="7" customFormat="1" ht="19.5" customHeight="1" x14ac:dyDescent="0.25">
      <c r="A10" s="67">
        <v>11</v>
      </c>
      <c r="B10" s="11"/>
      <c r="C10" s="12" t="s">
        <v>52</v>
      </c>
      <c r="D10" s="13">
        <v>10300</v>
      </c>
      <c r="E10" s="13">
        <v>1087333</v>
      </c>
      <c r="F10" s="13">
        <f>SUMIF('INGRESOS REALES '!$C$4:$C$65,A10,'INGRESOS REALES '!$Q$4:$Q$65)</f>
        <v>0</v>
      </c>
      <c r="G10" s="111">
        <v>0</v>
      </c>
      <c r="I10" s="7" t="s">
        <v>195</v>
      </c>
      <c r="J10" s="108">
        <v>18000000</v>
      </c>
      <c r="L10" s="105"/>
    </row>
    <row r="11" spans="1:13" s="7" customFormat="1" ht="19.5" customHeight="1" x14ac:dyDescent="0.25">
      <c r="A11" s="67">
        <v>12</v>
      </c>
      <c r="B11" s="11"/>
      <c r="C11" s="12" t="s">
        <v>53</v>
      </c>
      <c r="D11" s="13">
        <v>16053400</v>
      </c>
      <c r="E11" s="13">
        <v>1014188744</v>
      </c>
      <c r="F11" s="13">
        <f>SUMIF('INGRESOS REALES '!$C$4:$C$65,A11,'INGRESOS REALES '!$Q$4:$Q$65)</f>
        <v>4008481.77</v>
      </c>
      <c r="G11" s="111">
        <v>40132090</v>
      </c>
      <c r="I11" s="101" t="s">
        <v>52</v>
      </c>
      <c r="J11" s="108"/>
      <c r="L11" s="105"/>
    </row>
    <row r="12" spans="1:13" s="7" customFormat="1" ht="19.5" customHeight="1" x14ac:dyDescent="0.25">
      <c r="A12" s="67">
        <v>13</v>
      </c>
      <c r="B12" s="11"/>
      <c r="C12" s="12" t="s">
        <v>54</v>
      </c>
      <c r="D12" s="13">
        <f>SUMIF('INGRESOS REALES '!$C$4:$C$65,A12,'INGRESOS REALES '!$R$4:$R$65)</f>
        <v>0</v>
      </c>
      <c r="E12" s="13">
        <v>0</v>
      </c>
      <c r="F12" s="13">
        <f>SUMIF('INGRESOS REALES '!$C$4:$C$65,A12,'INGRESOS REALES '!$Q$4:$Q$65)</f>
        <v>0</v>
      </c>
      <c r="G12" s="111">
        <f t="shared" ref="G12:G18" si="1">D12*1.04</f>
        <v>0</v>
      </c>
      <c r="I12" s="7" t="s">
        <v>196</v>
      </c>
      <c r="J12" s="108"/>
      <c r="L12" s="105"/>
    </row>
    <row r="13" spans="1:13" s="7" customFormat="1" ht="19.5" customHeight="1" x14ac:dyDescent="0.25">
      <c r="A13" s="67">
        <v>14</v>
      </c>
      <c r="B13" s="11"/>
      <c r="C13" s="12" t="s">
        <v>55</v>
      </c>
      <c r="D13" s="13">
        <f>SUMIF('INGRESOS REALES '!$C$4:$C$65,A13,'INGRESOS REALES '!$R$4:$R$65)</f>
        <v>0</v>
      </c>
      <c r="E13" s="13">
        <v>0</v>
      </c>
      <c r="F13" s="13">
        <f>SUMIF('INGRESOS REALES '!$C$4:$C$65,A13,'INGRESOS REALES '!$Q$4:$Q$65)</f>
        <v>0</v>
      </c>
      <c r="G13" s="111">
        <f t="shared" si="1"/>
        <v>0</v>
      </c>
      <c r="I13" s="7" t="s">
        <v>197</v>
      </c>
      <c r="J13" s="108"/>
      <c r="L13" s="105"/>
    </row>
    <row r="14" spans="1:13" s="7" customFormat="1" ht="19.5" customHeight="1" x14ac:dyDescent="0.25">
      <c r="A14" s="67">
        <v>15</v>
      </c>
      <c r="B14" s="11"/>
      <c r="C14" s="12" t="s">
        <v>56</v>
      </c>
      <c r="D14" s="13">
        <f>SUMIF('INGRESOS REALES '!$C$4:$C$65,A14,'INGRESOS REALES '!$R$4:$R$65)</f>
        <v>0</v>
      </c>
      <c r="E14" s="13">
        <v>0</v>
      </c>
      <c r="F14" s="13">
        <f>SUMIF('INGRESOS REALES '!$C$4:$C$65,A14,'INGRESOS REALES '!$Q$4:$Q$65)</f>
        <v>0</v>
      </c>
      <c r="G14" s="111">
        <f t="shared" si="1"/>
        <v>0</v>
      </c>
      <c r="I14" s="7" t="s">
        <v>198</v>
      </c>
      <c r="J14" s="108"/>
      <c r="L14" s="105"/>
    </row>
    <row r="15" spans="1:13" s="7" customFormat="1" ht="19.5" customHeight="1" x14ac:dyDescent="0.25">
      <c r="A15" s="67">
        <v>16</v>
      </c>
      <c r="B15" s="11"/>
      <c r="C15" s="12" t="s">
        <v>57</v>
      </c>
      <c r="D15" s="13">
        <f>SUMIF('INGRESOS REALES '!$C$4:$C$65,A15,'INGRESOS REALES '!$R$4:$R$65)</f>
        <v>0</v>
      </c>
      <c r="E15" s="13">
        <v>0</v>
      </c>
      <c r="F15" s="13">
        <f>SUMIF('INGRESOS REALES '!$C$4:$C$65,A15,'INGRESOS REALES '!$Q$4:$Q$65)</f>
        <v>0</v>
      </c>
      <c r="G15" s="111">
        <f t="shared" si="1"/>
        <v>0</v>
      </c>
      <c r="I15" s="7" t="s">
        <v>199</v>
      </c>
      <c r="J15" s="108">
        <v>22246001.23</v>
      </c>
      <c r="L15" s="105">
        <f>40660228*1.04</f>
        <v>42286637.120000005</v>
      </c>
    </row>
    <row r="16" spans="1:13" s="7" customFormat="1" ht="19.5" customHeight="1" x14ac:dyDescent="0.25">
      <c r="A16" s="67">
        <v>17</v>
      </c>
      <c r="B16" s="11"/>
      <c r="C16" s="12" t="s">
        <v>58</v>
      </c>
      <c r="D16" s="13">
        <v>2001352.88</v>
      </c>
      <c r="E16" s="13">
        <v>6238730</v>
      </c>
      <c r="F16" s="13">
        <f>SUMIF('INGRESOS REALES '!$C$4:$C$65,A16,'INGRESOS REALES '!$Q$4:$Q$65)</f>
        <v>12607159.000000004</v>
      </c>
      <c r="G16" s="111">
        <v>855000</v>
      </c>
      <c r="I16" s="101" t="s">
        <v>200</v>
      </c>
      <c r="J16" s="108">
        <v>21767782.23</v>
      </c>
      <c r="L16" s="105"/>
    </row>
    <row r="17" spans="1:12" s="7" customFormat="1" ht="19.5" customHeight="1" x14ac:dyDescent="0.25">
      <c r="A17" s="67">
        <v>18</v>
      </c>
      <c r="B17" s="14"/>
      <c r="C17" s="15" t="s">
        <v>59</v>
      </c>
      <c r="D17" s="16">
        <f>SUMIF('INGRESOS REALES '!$C$4:$C$65,A17,'INGRESOS REALES '!$R$4:$R$65)</f>
        <v>0</v>
      </c>
      <c r="E17" s="16">
        <v>0</v>
      </c>
      <c r="F17" s="16">
        <f>SUMIF('INGRESOS REALES '!$C$4:$C$65,A17,'INGRESOS REALES '!$Q$4:$Q$65)</f>
        <v>0</v>
      </c>
      <c r="G17" s="111">
        <f t="shared" si="1"/>
        <v>0</v>
      </c>
      <c r="I17" s="7" t="s">
        <v>201</v>
      </c>
      <c r="J17" s="108">
        <v>5875455</v>
      </c>
      <c r="L17" s="105"/>
    </row>
    <row r="18" spans="1:12" s="7" customFormat="1" ht="19.5" customHeight="1" x14ac:dyDescent="0.25">
      <c r="A18" s="67">
        <v>19</v>
      </c>
      <c r="B18" s="14"/>
      <c r="C18" s="134" t="s">
        <v>60</v>
      </c>
      <c r="D18" s="128">
        <f>SUMIF('INGRESOS REALES '!$C$4:$C$65,A18,'INGRESOS REALES '!$R$4:$R$65)</f>
        <v>0</v>
      </c>
      <c r="E18" s="16"/>
      <c r="F18" s="16">
        <f>SUMIF('INGRESOS REALES '!$C$4:$C$65,A18,'INGRESOS REALES '!$Q$4:$Q$65)</f>
        <v>0</v>
      </c>
      <c r="G18" s="126">
        <f t="shared" si="1"/>
        <v>0</v>
      </c>
      <c r="I18" s="7" t="s">
        <v>202</v>
      </c>
      <c r="J18" s="108">
        <v>2158142</v>
      </c>
      <c r="L18" s="105">
        <f>3400000*1.04</f>
        <v>3536000</v>
      </c>
    </row>
    <row r="19" spans="1:12" s="7" customFormat="1" x14ac:dyDescent="0.25">
      <c r="A19" s="67"/>
      <c r="B19" s="17"/>
      <c r="C19" s="135"/>
      <c r="D19" s="129"/>
      <c r="E19" s="18">
        <v>0</v>
      </c>
      <c r="F19" s="18">
        <f>SUMIF('INGRESOS REALES '!$C$4:$C$65,A19,'INGRESOS REALES '!$Q$4:$Q$65)</f>
        <v>0</v>
      </c>
      <c r="G19" s="127"/>
      <c r="I19" s="7" t="s">
        <v>203</v>
      </c>
      <c r="J19" s="108">
        <v>2288762</v>
      </c>
      <c r="L19" s="105"/>
    </row>
    <row r="20" spans="1:12" s="7" customFormat="1" ht="19.5" customHeight="1" x14ac:dyDescent="0.25">
      <c r="A20" s="66">
        <v>3</v>
      </c>
      <c r="B20" s="57" t="s">
        <v>61</v>
      </c>
      <c r="C20" s="58"/>
      <c r="D20" s="59">
        <f>SUM(D21:D22)</f>
        <v>17392</v>
      </c>
      <c r="E20" s="59">
        <f t="shared" ref="E20:G20" si="2">SUM(E21:E22)</f>
        <v>0</v>
      </c>
      <c r="F20" s="59">
        <f t="shared" si="2"/>
        <v>17392</v>
      </c>
      <c r="G20" s="112">
        <f t="shared" si="2"/>
        <v>0</v>
      </c>
      <c r="I20" s="7" t="s">
        <v>204</v>
      </c>
      <c r="J20" s="108">
        <v>16342547.1</v>
      </c>
      <c r="L20" s="105"/>
    </row>
    <row r="21" spans="1:12" s="7" customFormat="1" ht="19.5" customHeight="1" x14ac:dyDescent="0.25">
      <c r="A21" s="67">
        <v>31</v>
      </c>
      <c r="B21" s="11"/>
      <c r="C21" s="12" t="s">
        <v>62</v>
      </c>
      <c r="D21" s="13">
        <f>'INGRESOS REALES '!Q12</f>
        <v>17392</v>
      </c>
      <c r="E21" s="13">
        <v>0</v>
      </c>
      <c r="F21" s="13">
        <f>SUMIF('INGRESOS REALES '!$C$4:$C$65,A21,'INGRESOS REALES '!$Q$4:$Q$65)</f>
        <v>17392</v>
      </c>
      <c r="G21" s="111">
        <v>0</v>
      </c>
      <c r="I21" s="7" t="s">
        <v>205</v>
      </c>
      <c r="J21" s="108">
        <v>20525931.509999998</v>
      </c>
      <c r="L21" s="105"/>
    </row>
    <row r="22" spans="1:12" s="7" customFormat="1" ht="19.5" customHeight="1" x14ac:dyDescent="0.25">
      <c r="A22" s="67">
        <v>39</v>
      </c>
      <c r="B22" s="11"/>
      <c r="C22" s="19" t="s">
        <v>63</v>
      </c>
      <c r="D22" s="13">
        <f>SUMIF('INGRESOS REALES '!$C$4:$C$65,A22,'INGRESOS REALES '!$R$4:$R$65)</f>
        <v>0</v>
      </c>
      <c r="E22" s="16">
        <v>0</v>
      </c>
      <c r="F22" s="13">
        <f>SUMIF('INGRESOS REALES '!$C$4:$C$65,A22,'INGRESOS REALES '!$Q$4:$Q$65)</f>
        <v>0</v>
      </c>
      <c r="G22" s="111">
        <f>D22*1.04</f>
        <v>0</v>
      </c>
      <c r="I22" s="7" t="s">
        <v>206</v>
      </c>
      <c r="J22" s="108">
        <v>470496.91000000015</v>
      </c>
      <c r="L22" s="105"/>
    </row>
    <row r="23" spans="1:12" s="7" customFormat="1" ht="19.5" customHeight="1" x14ac:dyDescent="0.25">
      <c r="A23" s="66">
        <v>4</v>
      </c>
      <c r="B23" s="60" t="s">
        <v>64</v>
      </c>
      <c r="C23" s="61"/>
      <c r="D23" s="104">
        <f>SUM(D24:D31)</f>
        <v>6290635.5699999994</v>
      </c>
      <c r="E23" s="62">
        <f t="shared" ref="E23:G23" si="3">SUM(E24:E31)</f>
        <v>93635712</v>
      </c>
      <c r="F23" s="62">
        <f t="shared" si="3"/>
        <v>6290635.5060000001</v>
      </c>
      <c r="G23" s="112">
        <f t="shared" si="3"/>
        <v>13507096</v>
      </c>
      <c r="I23" s="7" t="s">
        <v>58</v>
      </c>
      <c r="J23" s="108"/>
      <c r="L23" s="105"/>
    </row>
    <row r="24" spans="1:12" s="7" customFormat="1" ht="19.5" customHeight="1" x14ac:dyDescent="0.25">
      <c r="A24" s="67">
        <v>41</v>
      </c>
      <c r="B24" s="14"/>
      <c r="C24" s="15" t="s">
        <v>65</v>
      </c>
      <c r="D24" s="128">
        <v>101695.19</v>
      </c>
      <c r="E24" s="102"/>
      <c r="F24" s="16">
        <f>SUMIF('INGRESOS REALES '!$C$4:$C$65,A24,'INGRESOS REALES '!$Q$4:$Q$65)</f>
        <v>240193.80000000002</v>
      </c>
      <c r="G24" s="126">
        <v>0</v>
      </c>
      <c r="I24" s="7" t="s">
        <v>207</v>
      </c>
      <c r="J24" s="108"/>
      <c r="L24" s="105"/>
    </row>
    <row r="25" spans="1:12" s="7" customFormat="1" ht="19.5" customHeight="1" x14ac:dyDescent="0.25">
      <c r="A25" s="67"/>
      <c r="B25" s="17"/>
      <c r="C25" s="20" t="s">
        <v>66</v>
      </c>
      <c r="D25" s="129"/>
      <c r="E25" s="103">
        <v>0</v>
      </c>
      <c r="F25" s="18">
        <f>SUMIF('INGRESOS REALES '!$C$4:$C$65,A25,'INGRESOS REALES '!$Q$4:$Q$65)</f>
        <v>0</v>
      </c>
      <c r="G25" s="127"/>
      <c r="I25" s="7" t="s">
        <v>208</v>
      </c>
      <c r="J25" s="108"/>
      <c r="L25" s="105"/>
    </row>
    <row r="26" spans="1:12" s="7" customFormat="1" ht="19.5" customHeight="1" x14ac:dyDescent="0.25">
      <c r="A26" s="67">
        <v>42</v>
      </c>
      <c r="B26" s="17"/>
      <c r="C26" s="20" t="s">
        <v>67</v>
      </c>
      <c r="D26" s="18">
        <f>SUMIF('INGRESOS REALES '!$C$4:$C$65,A26,'INGRESOS REALES '!$R$4:$R$65)</f>
        <v>0</v>
      </c>
      <c r="E26" s="18">
        <v>0</v>
      </c>
      <c r="F26" s="18">
        <f>SUMIF('INGRESOS REALES '!$C$4:$C$65,A26,'INGRESOS REALES '!$Q$4:$Q$65)</f>
        <v>0</v>
      </c>
      <c r="G26" s="111">
        <f>D26*1.04</f>
        <v>0</v>
      </c>
      <c r="I26" s="7" t="s">
        <v>209</v>
      </c>
      <c r="J26" s="108"/>
      <c r="L26" s="105"/>
    </row>
    <row r="27" spans="1:12" s="7" customFormat="1" ht="19.5" customHeight="1" x14ac:dyDescent="0.25">
      <c r="A27" s="67">
        <v>43</v>
      </c>
      <c r="B27" s="11"/>
      <c r="C27" s="12" t="s">
        <v>68</v>
      </c>
      <c r="D27" s="13">
        <v>690683.65</v>
      </c>
      <c r="E27" s="13">
        <v>42179938</v>
      </c>
      <c r="F27" s="13">
        <f>SUMIF('INGRESOS REALES '!$C$4:$C$65,A27,'INGRESOS REALES '!$Q$4:$Q$65)</f>
        <v>2722551.3360000001</v>
      </c>
      <c r="G27" s="111">
        <f>19955000-6647904</f>
        <v>13307096</v>
      </c>
      <c r="I27" s="7" t="s">
        <v>62</v>
      </c>
      <c r="J27" s="108">
        <v>0</v>
      </c>
      <c r="L27" s="105"/>
    </row>
    <row r="28" spans="1:12" s="7" customFormat="1" x14ac:dyDescent="0.25">
      <c r="A28" s="67">
        <v>44</v>
      </c>
      <c r="B28" s="11"/>
      <c r="C28" s="12" t="s">
        <v>69</v>
      </c>
      <c r="D28" s="13">
        <v>5492480.7699999996</v>
      </c>
      <c r="E28" s="13">
        <v>50109748</v>
      </c>
      <c r="F28" s="13">
        <f>SUMIF('INGRESOS REALES '!$C$4:$C$65,A28,'INGRESOS REALES '!$Q$4:$Q$65)</f>
        <v>2199402.8119999999</v>
      </c>
      <c r="G28" s="111">
        <v>100000</v>
      </c>
      <c r="I28" s="7" t="s">
        <v>210</v>
      </c>
      <c r="J28" s="108">
        <v>0</v>
      </c>
      <c r="L28" s="105"/>
    </row>
    <row r="29" spans="1:12" s="7" customFormat="1" ht="19.5" customHeight="1" x14ac:dyDescent="0.25">
      <c r="A29" s="67">
        <v>45</v>
      </c>
      <c r="B29" s="14"/>
      <c r="C29" s="15" t="s">
        <v>268</v>
      </c>
      <c r="D29" s="16">
        <v>5775.96</v>
      </c>
      <c r="E29" s="13">
        <v>1346026</v>
      </c>
      <c r="F29" s="16">
        <f>SUMIF('INGRESOS REALES '!$C$4:$C$65,A29,'INGRESOS REALES '!$Q$4:$Q$65)</f>
        <v>1128487.558</v>
      </c>
      <c r="G29" s="111">
        <v>100000</v>
      </c>
      <c r="I29" s="7" t="s">
        <v>211</v>
      </c>
      <c r="J29" s="108">
        <v>0</v>
      </c>
      <c r="L29" s="105"/>
    </row>
    <row r="30" spans="1:12" s="7" customFormat="1" ht="19.5" customHeight="1" x14ac:dyDescent="0.25">
      <c r="A30" s="67">
        <v>49</v>
      </c>
      <c r="B30" s="14"/>
      <c r="C30" s="15" t="s">
        <v>70</v>
      </c>
      <c r="D30" s="128">
        <f>SUMIF('INGRESOS REALES '!$C$4:$C$65,A30,'INGRESOS REALES '!$R$4:$R$65)</f>
        <v>0</v>
      </c>
      <c r="E30" s="16"/>
      <c r="F30" s="16">
        <f>SUMIF('INGRESOS REALES '!$C$4:$C$65,A30,'INGRESOS REALES '!$Q$4:$Q$65)</f>
        <v>0</v>
      </c>
      <c r="G30" s="126">
        <f>D30*1.04</f>
        <v>0</v>
      </c>
      <c r="H30" s="101"/>
      <c r="I30" s="7" t="s">
        <v>212</v>
      </c>
      <c r="J30" s="108">
        <v>0</v>
      </c>
      <c r="L30" s="105"/>
    </row>
    <row r="31" spans="1:12" s="7" customFormat="1" ht="19.5" customHeight="1" x14ac:dyDescent="0.25">
      <c r="A31" s="67"/>
      <c r="B31" s="17"/>
      <c r="C31" s="20" t="s">
        <v>71</v>
      </c>
      <c r="D31" s="129"/>
      <c r="E31" s="18">
        <v>0</v>
      </c>
      <c r="F31" s="18">
        <f>SUMIF('INGRESOS REALES '!$C$4:$C$65,A31,'INGRESOS REALES '!$Q$4:$Q$65)</f>
        <v>0</v>
      </c>
      <c r="G31" s="127"/>
      <c r="I31" s="7" t="s">
        <v>213</v>
      </c>
      <c r="J31" s="108">
        <v>0</v>
      </c>
      <c r="L31" s="105"/>
    </row>
    <row r="32" spans="1:12" s="7" customFormat="1" ht="19.5" customHeight="1" x14ac:dyDescent="0.25">
      <c r="A32" s="66">
        <v>5</v>
      </c>
      <c r="B32" s="54" t="s">
        <v>72</v>
      </c>
      <c r="C32" s="55"/>
      <c r="D32" s="56">
        <f>SUM(D33:D36)</f>
        <v>873867</v>
      </c>
      <c r="E32" s="56">
        <f t="shared" ref="E32:G32" si="4">SUM(E33:E36)</f>
        <v>43445548</v>
      </c>
      <c r="F32" s="56">
        <f t="shared" si="4"/>
        <v>781992</v>
      </c>
      <c r="G32" s="112">
        <f t="shared" si="4"/>
        <v>1170517.92</v>
      </c>
      <c r="I32" s="7" t="s">
        <v>214</v>
      </c>
      <c r="J32" s="108">
        <v>0</v>
      </c>
      <c r="L32" s="105"/>
    </row>
    <row r="33" spans="1:14" s="7" customFormat="1" ht="19.5" customHeight="1" x14ac:dyDescent="0.25">
      <c r="A33" s="67">
        <v>51</v>
      </c>
      <c r="B33" s="11"/>
      <c r="C33" s="12" t="s">
        <v>72</v>
      </c>
      <c r="D33" s="13">
        <v>873867</v>
      </c>
      <c r="E33" s="13">
        <v>43445548</v>
      </c>
      <c r="F33" s="13">
        <f>SUMIF('INGRESOS REALES '!$C$4:$C$65,A33,'INGRESOS REALES '!$Q$4:$Q$65)</f>
        <v>781992</v>
      </c>
      <c r="G33" s="111">
        <f>1125498*1.04</f>
        <v>1170517.92</v>
      </c>
      <c r="I33" s="7" t="s">
        <v>215</v>
      </c>
      <c r="J33" s="108"/>
      <c r="L33" s="105"/>
    </row>
    <row r="34" spans="1:14" s="7" customFormat="1" ht="19.5" hidden="1" customHeight="1" x14ac:dyDescent="0.25">
      <c r="A34" s="67">
        <v>52</v>
      </c>
      <c r="B34" s="14"/>
      <c r="C34" s="15" t="s">
        <v>73</v>
      </c>
      <c r="D34" s="16">
        <f>SUMIF('INGRESOS REALES '!$C$4:$C$65,A34,'INGRESOS REALES '!$R$4:$R$65)</f>
        <v>0</v>
      </c>
      <c r="E34" s="16">
        <v>0</v>
      </c>
      <c r="F34" s="16">
        <f>SUMIF('INGRESOS REALES '!$C$4:$C$65,A34,'INGRESOS REALES '!$Q$4:$Q$65)</f>
        <v>0</v>
      </c>
      <c r="G34" s="111">
        <f>D34*1.04</f>
        <v>0</v>
      </c>
      <c r="I34" s="7" t="s">
        <v>216</v>
      </c>
      <c r="J34" s="108">
        <v>0</v>
      </c>
      <c r="L34" s="105"/>
    </row>
    <row r="35" spans="1:14" s="7" customFormat="1" ht="19.5" customHeight="1" x14ac:dyDescent="0.25">
      <c r="A35" s="67">
        <v>59</v>
      </c>
      <c r="B35" s="14"/>
      <c r="C35" s="15" t="s">
        <v>74</v>
      </c>
      <c r="D35" s="128">
        <f>SUMIF('INGRESOS REALES '!$C$4:$C$65,A35,'INGRESOS REALES '!$R$4:$R$65)</f>
        <v>0</v>
      </c>
      <c r="E35" s="16"/>
      <c r="F35" s="16">
        <f>SUMIF('INGRESOS REALES '!$C$4:$C$65,A35,'INGRESOS REALES '!$Q$4:$Q$65)</f>
        <v>0</v>
      </c>
      <c r="G35" s="126">
        <f>D35*1.04</f>
        <v>0</v>
      </c>
      <c r="I35" s="7" t="s">
        <v>217</v>
      </c>
      <c r="J35" s="108">
        <v>0</v>
      </c>
      <c r="L35" s="105"/>
    </row>
    <row r="36" spans="1:14" s="7" customFormat="1" ht="19.5" customHeight="1" x14ac:dyDescent="0.25">
      <c r="A36" s="67"/>
      <c r="B36" s="17"/>
      <c r="C36" s="20" t="s">
        <v>71</v>
      </c>
      <c r="D36" s="129"/>
      <c r="E36" s="18">
        <v>0</v>
      </c>
      <c r="F36" s="18">
        <f>SUMIF('INGRESOS REALES '!$C$4:$C$65,A36,'INGRESOS REALES '!$Q$4:$Q$65)</f>
        <v>0</v>
      </c>
      <c r="G36" s="127"/>
      <c r="I36" s="7" t="s">
        <v>218</v>
      </c>
      <c r="J36" s="108">
        <v>17371850.260000002</v>
      </c>
      <c r="L36" s="105"/>
    </row>
    <row r="37" spans="1:14" s="7" customFormat="1" ht="19.5" customHeight="1" x14ac:dyDescent="0.25">
      <c r="A37" s="66"/>
      <c r="B37" s="54" t="s">
        <v>75</v>
      </c>
      <c r="C37" s="55"/>
      <c r="D37" s="56">
        <f>SUM(D38:D41)</f>
        <v>14923387</v>
      </c>
      <c r="E37" s="56">
        <f t="shared" ref="E37:G37" si="5">SUM(E38:E41)</f>
        <v>58342303</v>
      </c>
      <c r="F37" s="56">
        <f t="shared" si="5"/>
        <v>15015262</v>
      </c>
      <c r="G37" s="112">
        <f t="shared" si="5"/>
        <v>0</v>
      </c>
      <c r="I37" s="7" t="s">
        <v>219</v>
      </c>
      <c r="J37" s="108">
        <v>17911358.199999999</v>
      </c>
      <c r="L37" s="105"/>
    </row>
    <row r="38" spans="1:14" s="7" customFormat="1" ht="19.5" customHeight="1" x14ac:dyDescent="0.25">
      <c r="A38" s="67">
        <v>61</v>
      </c>
      <c r="B38" s="21"/>
      <c r="C38" s="12" t="s">
        <v>75</v>
      </c>
      <c r="D38" s="13">
        <v>14923387</v>
      </c>
      <c r="E38" s="13">
        <v>58342303</v>
      </c>
      <c r="F38" s="13">
        <f>SUMIF('INGRESOS REALES '!$C$4:$C$65,A38,'INGRESOS REALES '!$Q$4:$Q$65)</f>
        <v>14923387</v>
      </c>
      <c r="G38" s="121"/>
      <c r="I38" s="7" t="s">
        <v>220</v>
      </c>
      <c r="J38" s="108">
        <v>539507.93999999994</v>
      </c>
      <c r="L38" s="105"/>
    </row>
    <row r="39" spans="1:14" s="7" customFormat="1" ht="19.5" customHeight="1" x14ac:dyDescent="0.25">
      <c r="A39" s="67">
        <v>62</v>
      </c>
      <c r="B39" s="14"/>
      <c r="C39" s="15" t="s">
        <v>76</v>
      </c>
      <c r="D39" s="16">
        <v>0</v>
      </c>
      <c r="E39" s="16">
        <v>0</v>
      </c>
      <c r="F39" s="16">
        <f>SUMIF('INGRESOS REALES '!$C$4:$C$65,A39,'INGRESOS REALES '!$Q$4:$Q$65)</f>
        <v>91875</v>
      </c>
      <c r="G39" s="111">
        <f>D39*1.04</f>
        <v>0</v>
      </c>
      <c r="I39" s="7" t="s">
        <v>221</v>
      </c>
      <c r="J39" s="108">
        <v>15450</v>
      </c>
      <c r="L39" s="105"/>
    </row>
    <row r="40" spans="1:14" s="7" customFormat="1" ht="19.5" customHeight="1" x14ac:dyDescent="0.25">
      <c r="A40" s="67">
        <v>63</v>
      </c>
      <c r="B40" s="14"/>
      <c r="C40" s="15" t="s">
        <v>77</v>
      </c>
      <c r="D40" s="16">
        <f>SUMIF('INGRESOS REALES '!$C$4:$C$65,A40,'INGRESOS REALES '!$R$4:$R$65)</f>
        <v>0</v>
      </c>
      <c r="E40" s="16">
        <v>0</v>
      </c>
      <c r="F40" s="16">
        <f>SUMIF('INGRESOS REALES '!$C$4:$C$65,A40,'INGRESOS REALES '!$Q$4:$Q$65)</f>
        <v>0</v>
      </c>
      <c r="G40" s="111">
        <f>D40*1.04</f>
        <v>0</v>
      </c>
      <c r="I40" s="7" t="s">
        <v>222</v>
      </c>
      <c r="J40" s="108">
        <v>15450</v>
      </c>
      <c r="L40" s="105"/>
    </row>
    <row r="41" spans="1:14" s="7" customFormat="1" ht="37.5" customHeight="1" x14ac:dyDescent="0.2">
      <c r="A41" s="67">
        <v>69</v>
      </c>
      <c r="B41" s="11"/>
      <c r="C41" s="22" t="s">
        <v>78</v>
      </c>
      <c r="D41" s="13">
        <f>SUMIF('INGRESOS REALES '!$C$4:$C$65,A41,'INGRESOS REALES '!$R$4:$R$65)</f>
        <v>0</v>
      </c>
      <c r="E41" s="16"/>
      <c r="F41" s="13">
        <f>SUMIF('INGRESOS REALES '!$C$4:$C$65,A41,'INGRESOS REALES '!$Q$4:$Q$65)</f>
        <v>0</v>
      </c>
      <c r="G41" s="111">
        <f>D41*1.04</f>
        <v>0</v>
      </c>
      <c r="I41" s="7" t="s">
        <v>223</v>
      </c>
      <c r="J41" s="108">
        <v>738861.72</v>
      </c>
      <c r="L41" s="105"/>
    </row>
    <row r="42" spans="1:14" s="7" customFormat="1" ht="19.5" customHeight="1" x14ac:dyDescent="0.25">
      <c r="A42" s="66">
        <v>7</v>
      </c>
      <c r="B42" s="54" t="s">
        <v>79</v>
      </c>
      <c r="C42" s="55"/>
      <c r="D42" s="56">
        <f>SUM(D51:D51)</f>
        <v>0</v>
      </c>
      <c r="E42" s="56">
        <f t="shared" ref="E42:G42" si="6">SUM(E51:E51)</f>
        <v>0</v>
      </c>
      <c r="F42" s="56">
        <f t="shared" si="6"/>
        <v>0</v>
      </c>
      <c r="G42" s="112">
        <f t="shared" si="6"/>
        <v>0</v>
      </c>
      <c r="I42" s="7" t="s">
        <v>224</v>
      </c>
      <c r="J42" s="108">
        <v>124617.24</v>
      </c>
      <c r="L42" s="105">
        <f>1557405.7*10*1.04</f>
        <v>16197019.280000001</v>
      </c>
      <c r="N42" s="7">
        <v>371825</v>
      </c>
    </row>
    <row r="43" spans="1:14" s="7" customFormat="1" ht="30" hidden="1" x14ac:dyDescent="0.25">
      <c r="A43" s="67">
        <v>71</v>
      </c>
      <c r="B43" s="11"/>
      <c r="C43" s="23" t="s">
        <v>80</v>
      </c>
      <c r="D43" s="13">
        <f>SUMIF('INGRESOS REALES '!$C$4:$C$65,A43,'INGRESOS REALES '!$R$4:$R$65)</f>
        <v>0</v>
      </c>
      <c r="E43" s="13">
        <v>0</v>
      </c>
      <c r="F43" s="13">
        <f>SUMIF('INGRESOS REALES '!$C$4:$C$65,A43,'INGRESOS REALES '!$Q$4:$Q$65)</f>
        <v>0</v>
      </c>
      <c r="G43" s="111">
        <f t="shared" ref="G43:G51" si="7">D43*1.04</f>
        <v>0</v>
      </c>
      <c r="I43" s="7" t="s">
        <v>225</v>
      </c>
      <c r="J43" s="108">
        <v>632972.79999999993</v>
      </c>
      <c r="L43" s="105"/>
    </row>
    <row r="44" spans="1:14" s="7" customFormat="1" ht="19.5" hidden="1" customHeight="1" x14ac:dyDescent="0.25">
      <c r="A44" s="67">
        <v>72</v>
      </c>
      <c r="B44" s="17"/>
      <c r="C44" s="24" t="s">
        <v>81</v>
      </c>
      <c r="D44" s="13">
        <f>SUMIF('INGRESOS REALES '!$C$4:$C$65,A44,'INGRESOS REALES '!$R$4:$R$65)</f>
        <v>0</v>
      </c>
      <c r="E44" s="13">
        <v>0</v>
      </c>
      <c r="F44" s="13">
        <f>SUMIF('INGRESOS REALES '!$C$4:$C$65,A44,'INGRESOS REALES '!$Q$4:$Q$65)</f>
        <v>0</v>
      </c>
      <c r="G44" s="111">
        <f t="shared" si="7"/>
        <v>0</v>
      </c>
      <c r="I44" s="7" t="s">
        <v>220</v>
      </c>
      <c r="J44" s="108">
        <v>18728.32</v>
      </c>
      <c r="L44" s="105"/>
    </row>
    <row r="45" spans="1:14" s="7" customFormat="1" ht="19.5" hidden="1" customHeight="1" x14ac:dyDescent="0.25">
      <c r="A45" s="67">
        <v>73</v>
      </c>
      <c r="B45" s="11"/>
      <c r="C45" s="19" t="s">
        <v>82</v>
      </c>
      <c r="D45" s="13">
        <f>SUMIF('INGRESOS REALES '!$C$4:$C$65,A45,'INGRESOS REALES '!$R$4:$R$65)</f>
        <v>0</v>
      </c>
      <c r="E45" s="13">
        <v>0</v>
      </c>
      <c r="F45" s="13">
        <f>SUMIF('INGRESOS REALES '!$C$4:$C$65,A45,'INGRESOS REALES '!$Q$4:$Q$65)</f>
        <v>0</v>
      </c>
      <c r="G45" s="111">
        <f t="shared" si="7"/>
        <v>0</v>
      </c>
      <c r="I45" s="7" t="s">
        <v>226</v>
      </c>
      <c r="J45" s="108">
        <v>987290.85</v>
      </c>
      <c r="L45" s="105"/>
    </row>
    <row r="46" spans="1:14" s="7" customFormat="1" ht="19.5" hidden="1" customHeight="1" x14ac:dyDescent="0.25">
      <c r="A46" s="67">
        <v>74</v>
      </c>
      <c r="B46" s="11"/>
      <c r="C46" s="19" t="s">
        <v>83</v>
      </c>
      <c r="D46" s="13">
        <f>SUMIF('INGRESOS REALES '!$C$4:$C$65,A46,'INGRESOS REALES '!$R$4:$R$65)</f>
        <v>0</v>
      </c>
      <c r="E46" s="13">
        <v>0</v>
      </c>
      <c r="F46" s="13">
        <f>SUMIF('INGRESOS REALES '!$C$4:$C$65,A46,'INGRESOS REALES '!$Q$4:$Q$65)</f>
        <v>0</v>
      </c>
      <c r="G46" s="111">
        <f t="shared" si="7"/>
        <v>0</v>
      </c>
      <c r="I46" s="7" t="s">
        <v>227</v>
      </c>
      <c r="J46" s="108">
        <v>440175.95999999996</v>
      </c>
      <c r="L46" s="105"/>
    </row>
    <row r="47" spans="1:14" s="7" customFormat="1" ht="37.5" hidden="1" customHeight="1" x14ac:dyDescent="0.25">
      <c r="A47" s="67">
        <v>75</v>
      </c>
      <c r="B47" s="11"/>
      <c r="C47" s="25" t="s">
        <v>84</v>
      </c>
      <c r="D47" s="13">
        <f>SUMIF('INGRESOS REALES '!$C$4:$C$65,A47,'INGRESOS REALES '!$R$4:$R$65)</f>
        <v>0</v>
      </c>
      <c r="E47" s="13">
        <v>0</v>
      </c>
      <c r="F47" s="13">
        <f>SUMIF('INGRESOS REALES '!$C$4:$C$65,A47,'INGRESOS REALES '!$Q$4:$Q$65)</f>
        <v>0</v>
      </c>
      <c r="G47" s="111">
        <f t="shared" si="7"/>
        <v>0</v>
      </c>
      <c r="I47" s="7" t="s">
        <v>228</v>
      </c>
      <c r="J47" s="108">
        <v>542446.38</v>
      </c>
      <c r="L47" s="105"/>
    </row>
    <row r="48" spans="1:14" s="7" customFormat="1" ht="19.5" hidden="1" customHeight="1" x14ac:dyDescent="0.25">
      <c r="A48" s="67">
        <v>76</v>
      </c>
      <c r="B48" s="17"/>
      <c r="C48" s="24" t="s">
        <v>85</v>
      </c>
      <c r="D48" s="18">
        <f>SUMIF('INGRESOS REALES '!$C$4:$C$65,A48,'INGRESOS REALES '!$R$4:$R$65)</f>
        <v>0</v>
      </c>
      <c r="E48" s="13">
        <v>0</v>
      </c>
      <c r="F48" s="18">
        <f>SUMIF('INGRESOS REALES '!$C$4:$C$65,A48,'INGRESOS REALES '!$Q$4:$Q$65)</f>
        <v>0</v>
      </c>
      <c r="G48" s="111">
        <f t="shared" si="7"/>
        <v>0</v>
      </c>
      <c r="I48" s="7" t="s">
        <v>229</v>
      </c>
      <c r="J48" s="108">
        <v>4668.51</v>
      </c>
      <c r="L48" s="105"/>
    </row>
    <row r="49" spans="1:12" s="7" customFormat="1" ht="38.25" hidden="1" x14ac:dyDescent="0.25">
      <c r="A49" s="67">
        <v>77</v>
      </c>
      <c r="B49" s="11"/>
      <c r="C49" s="19" t="s">
        <v>86</v>
      </c>
      <c r="D49" s="13">
        <f>SUMIF('INGRESOS REALES '!$C$4:$C$65,A49,'INGRESOS REALES '!$R$4:$R$65)</f>
        <v>0</v>
      </c>
      <c r="E49" s="13">
        <v>0</v>
      </c>
      <c r="F49" s="13">
        <f>SUMIF('INGRESOS REALES '!$C$4:$C$65,A49,'INGRESOS REALES '!$Q$4:$Q$65)</f>
        <v>0</v>
      </c>
      <c r="G49" s="111">
        <f t="shared" si="7"/>
        <v>0</v>
      </c>
      <c r="I49" s="7" t="s">
        <v>230</v>
      </c>
      <c r="J49" s="108">
        <v>73550</v>
      </c>
      <c r="L49" s="105"/>
    </row>
    <row r="50" spans="1:12" s="7" customFormat="1" ht="38.25" hidden="1" x14ac:dyDescent="0.25">
      <c r="A50" s="67">
        <v>78</v>
      </c>
      <c r="B50" s="11"/>
      <c r="C50" s="19" t="s">
        <v>87</v>
      </c>
      <c r="D50" s="13">
        <f>SUMIF('INGRESOS REALES '!$C$4:$C$65,A50,'INGRESOS REALES '!$R$4:$R$65)</f>
        <v>0</v>
      </c>
      <c r="E50" s="13">
        <v>0</v>
      </c>
      <c r="F50" s="13">
        <f>SUMIF('INGRESOS REALES '!$C$4:$C$65,A50,'INGRESOS REALES '!$Q$4:$Q$65)</f>
        <v>0</v>
      </c>
      <c r="G50" s="111">
        <f t="shared" si="7"/>
        <v>0</v>
      </c>
      <c r="I50" s="7" t="s">
        <v>231</v>
      </c>
      <c r="J50" s="108">
        <v>73550</v>
      </c>
      <c r="L50" s="105"/>
    </row>
    <row r="51" spans="1:12" s="7" customFormat="1" x14ac:dyDescent="0.25">
      <c r="A51" s="67">
        <v>79</v>
      </c>
      <c r="B51" s="11"/>
      <c r="C51" s="12" t="s">
        <v>88</v>
      </c>
      <c r="D51" s="13">
        <f>SUMIF('INGRESOS REALES '!$C$4:$C$65,A51,'INGRESOS REALES '!$R$4:$R$65)</f>
        <v>0</v>
      </c>
      <c r="E51" s="13">
        <v>0</v>
      </c>
      <c r="F51" s="13">
        <f>SUMIF('INGRESOS REALES '!$C$4:$C$65,A51,'INGRESOS REALES '!$Q$4:$Q$65)</f>
        <v>0</v>
      </c>
      <c r="G51" s="111">
        <f t="shared" si="7"/>
        <v>0</v>
      </c>
      <c r="I51" s="7" t="s">
        <v>58</v>
      </c>
      <c r="J51" s="108">
        <v>0</v>
      </c>
      <c r="L51" s="105">
        <f>8215315.42*12*1.04</f>
        <v>102527136.44159999</v>
      </c>
    </row>
    <row r="52" spans="1:12" s="7" customFormat="1" x14ac:dyDescent="0.25">
      <c r="A52" s="66">
        <v>8</v>
      </c>
      <c r="B52" s="124" t="s">
        <v>89</v>
      </c>
      <c r="C52" s="125"/>
      <c r="D52" s="56">
        <f>SUM(D53:D57)</f>
        <v>144299155.28999999</v>
      </c>
      <c r="E52" s="56">
        <f t="shared" ref="E52:F52" si="8">SUM(E53:E57)</f>
        <v>1194231135</v>
      </c>
      <c r="F52" s="56">
        <f t="shared" si="8"/>
        <v>141158415.40500003</v>
      </c>
      <c r="G52" s="112">
        <f>SUM(G53:G57)</f>
        <v>344790996.5352</v>
      </c>
      <c r="I52" s="7" t="s">
        <v>232</v>
      </c>
      <c r="J52" s="108">
        <v>0</v>
      </c>
      <c r="L52" s="105">
        <f>1173188.49*12*1.04</f>
        <v>14641392.3552</v>
      </c>
    </row>
    <row r="53" spans="1:12" s="7" customFormat="1" x14ac:dyDescent="0.25">
      <c r="A53" s="67">
        <v>81</v>
      </c>
      <c r="B53" s="11"/>
      <c r="C53" s="12" t="s">
        <v>90</v>
      </c>
      <c r="D53" s="68">
        <v>43034231.729999997</v>
      </c>
      <c r="E53" s="13">
        <v>980364338</v>
      </c>
      <c r="F53" s="13">
        <f>SUMIF('INGRESOS REALES '!$C$4:$C$65,A53,'INGRESOS REALES '!$Q$4:$Q$65)</f>
        <v>34313261.150000006</v>
      </c>
      <c r="G53" s="111">
        <f>99981235.13*1.04</f>
        <v>103980484.5352</v>
      </c>
      <c r="I53" s="7" t="s">
        <v>233</v>
      </c>
      <c r="J53" s="108">
        <v>0</v>
      </c>
      <c r="L53" s="105">
        <f>SUM(L42:L52)</f>
        <v>133365548.07679999</v>
      </c>
    </row>
    <row r="54" spans="1:12" s="7" customFormat="1" x14ac:dyDescent="0.25">
      <c r="A54" s="67">
        <v>82</v>
      </c>
      <c r="B54" s="11"/>
      <c r="C54" s="12" t="s">
        <v>91</v>
      </c>
      <c r="D54" s="13">
        <v>43250774</v>
      </c>
      <c r="E54" s="13">
        <v>213866797</v>
      </c>
      <c r="F54" s="13">
        <f>SUMIF('INGRESOS REALES '!$C$4:$C$65,A54,'INGRESOS REALES '!$Q$4:$Q$65)</f>
        <v>32514366.139999997</v>
      </c>
      <c r="G54" s="111">
        <v>240810512</v>
      </c>
      <c r="I54" s="7" t="s">
        <v>234</v>
      </c>
      <c r="J54" s="108">
        <v>216289.08999999997</v>
      </c>
      <c r="L54" s="105"/>
    </row>
    <row r="55" spans="1:12" s="7" customFormat="1" x14ac:dyDescent="0.25">
      <c r="A55" s="67">
        <v>83</v>
      </c>
      <c r="B55" s="11"/>
      <c r="C55" s="12" t="s">
        <v>92</v>
      </c>
      <c r="D55" s="13">
        <v>58014149.560000002</v>
      </c>
      <c r="E55" s="13">
        <v>0</v>
      </c>
      <c r="F55" s="13">
        <f>SUMIF('INGRESOS REALES '!$C$4:$C$65,A55,'INGRESOS REALES '!$Q$4:$Q$65)</f>
        <v>74330788.11500001</v>
      </c>
      <c r="G55" s="111">
        <v>0</v>
      </c>
      <c r="I55" s="7" t="s">
        <v>235</v>
      </c>
      <c r="J55" s="108">
        <v>0</v>
      </c>
      <c r="L55" s="105"/>
    </row>
    <row r="56" spans="1:12" s="7" customFormat="1" x14ac:dyDescent="0.25">
      <c r="A56" s="67">
        <v>84</v>
      </c>
      <c r="B56" s="11"/>
      <c r="C56" s="12" t="s">
        <v>93</v>
      </c>
      <c r="D56" s="13">
        <f>SUMIF('INGRESOS REALES '!$C$4:$C$65,A56,'INGRESOS REALES '!$R$4:$R$65)</f>
        <v>0</v>
      </c>
      <c r="E56" s="13">
        <v>0</v>
      </c>
      <c r="F56" s="13">
        <f>SUMIF('INGRESOS REALES '!$C$4:$C$65,A56,'INGRESOS REALES '!$Q$4:$Q$65)</f>
        <v>0</v>
      </c>
      <c r="G56" s="111">
        <f>D56*1.04</f>
        <v>0</v>
      </c>
      <c r="I56" s="7" t="s">
        <v>236</v>
      </c>
      <c r="J56" s="108">
        <v>0</v>
      </c>
      <c r="L56" s="105">
        <f>66654156.75/8</f>
        <v>8331769.59375</v>
      </c>
    </row>
    <row r="57" spans="1:12" s="7" customFormat="1" ht="19.5" customHeight="1" x14ac:dyDescent="0.25">
      <c r="A57" s="67">
        <v>85</v>
      </c>
      <c r="B57" s="11"/>
      <c r="C57" s="12" t="s">
        <v>94</v>
      </c>
      <c r="D57" s="13">
        <f>SUMIF('INGRESOS REALES '!$C$4:$C$65,A57,'INGRESOS REALES '!$R$4:$R$65)</f>
        <v>0</v>
      </c>
      <c r="E57" s="13">
        <v>0</v>
      </c>
      <c r="F57" s="13">
        <f>SUMIF('INGRESOS REALES '!$C$4:$C$65,A57,'INGRESOS REALES '!$Q$4:$Q$65)</f>
        <v>0</v>
      </c>
      <c r="G57" s="111">
        <f>D57*1.04</f>
        <v>0</v>
      </c>
      <c r="I57" s="7" t="s">
        <v>237</v>
      </c>
      <c r="J57" s="108">
        <v>167045</v>
      </c>
      <c r="L57" s="105">
        <f>L56*12</f>
        <v>99981235.125</v>
      </c>
    </row>
    <row r="58" spans="1:12" s="7" customFormat="1" ht="36" customHeight="1" x14ac:dyDescent="0.25">
      <c r="A58" s="66">
        <v>9</v>
      </c>
      <c r="B58" s="124" t="s">
        <v>95</v>
      </c>
      <c r="C58" s="125"/>
      <c r="D58" s="59">
        <f>SUM(D59:D65)</f>
        <v>0</v>
      </c>
      <c r="E58" s="59">
        <f t="shared" ref="E58:G58" si="9">SUM(E59:E65)</f>
        <v>0</v>
      </c>
      <c r="F58" s="59">
        <f t="shared" si="9"/>
        <v>0</v>
      </c>
      <c r="G58" s="112">
        <f t="shared" si="9"/>
        <v>0</v>
      </c>
      <c r="I58" s="7" t="s">
        <v>238</v>
      </c>
      <c r="J58" s="108">
        <v>9000</v>
      </c>
      <c r="L58" s="105"/>
    </row>
    <row r="59" spans="1:12" s="7" customFormat="1" ht="19.5" customHeight="1" x14ac:dyDescent="0.25">
      <c r="A59" s="67">
        <v>91</v>
      </c>
      <c r="B59" s="26"/>
      <c r="C59" s="12" t="s">
        <v>96</v>
      </c>
      <c r="D59" s="13">
        <f>SUMIF('INGRESOS REALES '!$C$4:$C$65,A59,'INGRESOS REALES '!$R$4:$R$65)</f>
        <v>0</v>
      </c>
      <c r="E59" s="13">
        <v>0</v>
      </c>
      <c r="F59" s="13">
        <f>SUMIF('INGRESOS REALES '!$C$4:$C$65,A59,'INGRESOS REALES '!$Q$4:$Q$65)</f>
        <v>0</v>
      </c>
      <c r="G59" s="111">
        <f t="shared" ref="G59:G65" si="10">D59*1.04</f>
        <v>0</v>
      </c>
      <c r="H59" s="71"/>
      <c r="I59" s="7" t="s">
        <v>239</v>
      </c>
      <c r="J59" s="108">
        <v>158045</v>
      </c>
      <c r="L59" s="105"/>
    </row>
    <row r="60" spans="1:12" s="7" customFormat="1" ht="19.5" customHeight="1" x14ac:dyDescent="0.25">
      <c r="A60" s="67">
        <v>92</v>
      </c>
      <c r="B60" s="11"/>
      <c r="C60" s="12" t="s">
        <v>97</v>
      </c>
      <c r="D60" s="13">
        <f>SUMIF('INGRESOS REALES '!$C$4:$C$65,A60,'INGRESOS REALES '!$R$4:$R$65)</f>
        <v>0</v>
      </c>
      <c r="E60" s="13">
        <v>0</v>
      </c>
      <c r="F60" s="13">
        <f>SUMIF('INGRESOS REALES '!$C$4:$C$65,A60,'INGRESOS REALES '!$Q$4:$Q$65)</f>
        <v>0</v>
      </c>
      <c r="G60" s="111">
        <f t="shared" si="10"/>
        <v>0</v>
      </c>
      <c r="H60" s="71"/>
      <c r="I60" s="7" t="s">
        <v>240</v>
      </c>
      <c r="J60" s="108">
        <v>49244.090000000004</v>
      </c>
      <c r="L60" s="105"/>
    </row>
    <row r="61" spans="1:12" s="7" customFormat="1" ht="19.5" customHeight="1" x14ac:dyDescent="0.25">
      <c r="A61" s="67">
        <v>93</v>
      </c>
      <c r="B61" s="11"/>
      <c r="C61" s="12" t="s">
        <v>98</v>
      </c>
      <c r="D61" s="13">
        <f>SUMIF('INGRESOS REALES '!$C$4:$C$65,A61,'INGRESOS REALES '!$R$4:$R$65)</f>
        <v>0</v>
      </c>
      <c r="E61" s="13">
        <v>0</v>
      </c>
      <c r="F61" s="13">
        <f>SUMIF('INGRESOS REALES '!$C$4:$C$65,A61,'INGRESOS REALES '!$Q$4:$Q$65)</f>
        <v>0</v>
      </c>
      <c r="G61" s="111">
        <f t="shared" si="10"/>
        <v>0</v>
      </c>
      <c r="H61" s="71"/>
      <c r="I61" s="7" t="s">
        <v>241</v>
      </c>
      <c r="J61" s="108">
        <v>49244.090000000004</v>
      </c>
      <c r="L61" s="105"/>
    </row>
    <row r="62" spans="1:12" s="7" customFormat="1" ht="19.5" customHeight="1" x14ac:dyDescent="0.25">
      <c r="A62" s="67">
        <v>94</v>
      </c>
      <c r="B62" s="11"/>
      <c r="C62" s="12" t="s">
        <v>99</v>
      </c>
      <c r="D62" s="13">
        <f>SUMIF('INGRESOS REALES '!$C$4:$C$65,A62,'INGRESOS REALES '!$R$4:$R$65)</f>
        <v>0</v>
      </c>
      <c r="E62" s="13">
        <v>0</v>
      </c>
      <c r="F62" s="13">
        <f>SUMIF('INGRESOS REALES '!$C$4:$C$65,A62,'INGRESOS REALES '!$Q$4:$Q$65)</f>
        <v>0</v>
      </c>
      <c r="G62" s="111">
        <f t="shared" si="10"/>
        <v>0</v>
      </c>
      <c r="I62" s="7" t="s">
        <v>184</v>
      </c>
      <c r="J62" s="108">
        <v>359150.49</v>
      </c>
      <c r="L62" s="105"/>
    </row>
    <row r="63" spans="1:12" s="7" customFormat="1" ht="19.5" customHeight="1" x14ac:dyDescent="0.25">
      <c r="A63" s="67">
        <v>95</v>
      </c>
      <c r="B63" s="11"/>
      <c r="C63" s="12" t="s">
        <v>100</v>
      </c>
      <c r="D63" s="13">
        <f>SUMIF('INGRESOS REALES '!$C$4:$C$65,A63,'INGRESOS REALES '!$R$4:$R$65)</f>
        <v>0</v>
      </c>
      <c r="E63" s="13">
        <v>0</v>
      </c>
      <c r="F63" s="13">
        <f>SUMIF('INGRESOS REALES '!$C$4:$C$65,A63,'INGRESOS REALES '!$Q$4:$Q$65)</f>
        <v>0</v>
      </c>
      <c r="G63" s="111">
        <f t="shared" si="10"/>
        <v>0</v>
      </c>
      <c r="I63" s="7" t="s">
        <v>184</v>
      </c>
      <c r="J63" s="108">
        <v>359150.49</v>
      </c>
      <c r="L63" s="105"/>
    </row>
    <row r="64" spans="1:12" s="7" customFormat="1" ht="30.75" customHeight="1" x14ac:dyDescent="0.25">
      <c r="A64" s="67">
        <v>96</v>
      </c>
      <c r="B64" s="11"/>
      <c r="C64" s="12" t="s">
        <v>101</v>
      </c>
      <c r="D64" s="13">
        <f>SUMIF('INGRESOS REALES '!$C$4:$C$65,A64,'INGRESOS REALES '!$R$4:$R$65)</f>
        <v>0</v>
      </c>
      <c r="E64" s="13">
        <v>0</v>
      </c>
      <c r="F64" s="13">
        <f>SUMIF('INGRESOS REALES '!$C$4:$C$65,A64,'INGRESOS REALES '!$Q$4:$Q$65)</f>
        <v>0</v>
      </c>
      <c r="G64" s="111">
        <f t="shared" si="10"/>
        <v>0</v>
      </c>
      <c r="I64" s="7" t="s">
        <v>242</v>
      </c>
      <c r="J64" s="108">
        <v>328212.90000000002</v>
      </c>
      <c r="L64" s="105"/>
    </row>
    <row r="65" spans="1:12" s="7" customFormat="1" ht="19.5" customHeight="1" x14ac:dyDescent="0.25">
      <c r="A65" s="67">
        <v>97</v>
      </c>
      <c r="B65" s="11"/>
      <c r="C65" s="12" t="s">
        <v>102</v>
      </c>
      <c r="D65" s="13">
        <f>SUMIF('INGRESOS REALES '!$C$4:$C$65,A65,'INGRESOS REALES '!$R$4:$R$65)</f>
        <v>0</v>
      </c>
      <c r="E65" s="13">
        <v>0</v>
      </c>
      <c r="F65" s="13">
        <f>SUMIF('INGRESOS REALES '!$C$4:$C$65,A65,'INGRESOS REALES '!$Q$4:$Q$65)</f>
        <v>0</v>
      </c>
      <c r="G65" s="111">
        <f t="shared" si="10"/>
        <v>0</v>
      </c>
      <c r="I65" s="7" t="s">
        <v>243</v>
      </c>
      <c r="J65" s="108">
        <v>15376.59</v>
      </c>
      <c r="L65" s="105"/>
    </row>
    <row r="66" spans="1:12" s="7" customFormat="1" ht="19.5" customHeight="1" x14ac:dyDescent="0.25">
      <c r="A66" s="66"/>
      <c r="B66" s="57" t="s">
        <v>103</v>
      </c>
      <c r="C66" s="58"/>
      <c r="D66" s="59">
        <f>SUM(D67:D69)</f>
        <v>0</v>
      </c>
      <c r="E66" s="59">
        <f t="shared" ref="E66:G66" si="11">SUM(E67:E69)</f>
        <v>0</v>
      </c>
      <c r="F66" s="59">
        <f t="shared" si="11"/>
        <v>0</v>
      </c>
      <c r="G66" s="112">
        <f t="shared" si="11"/>
        <v>24027341.998512</v>
      </c>
      <c r="I66" s="7" t="s">
        <v>244</v>
      </c>
      <c r="J66" s="108">
        <v>15561</v>
      </c>
      <c r="L66" s="105"/>
    </row>
    <row r="67" spans="1:12" s="7" customFormat="1" ht="19.5" customHeight="1" x14ac:dyDescent="0.25">
      <c r="A67" s="67">
        <v>0</v>
      </c>
      <c r="B67" s="11"/>
      <c r="C67" s="12" t="s">
        <v>104</v>
      </c>
      <c r="D67" s="13">
        <f>SUMIF('INGRESOS REALES '!$C$4:$C$65,A67,'INGRESOS REALES '!$R$4:$R$65)</f>
        <v>0</v>
      </c>
      <c r="E67" s="13">
        <v>0</v>
      </c>
      <c r="F67" s="13">
        <f>SUMIF('INGRESOS REALES '!$C$4:$C$65,A67,'INGRESOS REALES '!$Q$4:$Q$65)</f>
        <v>0</v>
      </c>
      <c r="G67" s="111"/>
      <c r="I67" s="7" t="s">
        <v>90</v>
      </c>
      <c r="J67" s="108">
        <v>82731040.039999992</v>
      </c>
      <c r="L67" s="105"/>
    </row>
    <row r="68" spans="1:12" s="7" customFormat="1" ht="19.5" customHeight="1" x14ac:dyDescent="0.25">
      <c r="A68" s="67">
        <v>1</v>
      </c>
      <c r="B68" s="11"/>
      <c r="C68" s="12" t="s">
        <v>105</v>
      </c>
      <c r="D68" s="13">
        <f>SUMIF('INGRESOS REALES '!$C$4:$C$65,A68,'INGRESOS REALES '!$R$4:$R$65)</f>
        <v>0</v>
      </c>
      <c r="E68" s="13">
        <v>0</v>
      </c>
      <c r="F68" s="13">
        <f>SUMIF('INGRESOS REALES '!$C$4:$C$65,A68,'INGRESOS REALES '!$Q$4:$Q$65)</f>
        <v>0</v>
      </c>
      <c r="G68" s="111">
        <v>24027341.998512</v>
      </c>
      <c r="I68" s="7" t="s">
        <v>245</v>
      </c>
      <c r="J68" s="108">
        <v>78306335.599999994</v>
      </c>
      <c r="L68" s="105"/>
    </row>
    <row r="69" spans="1:12" s="7" customFormat="1" ht="19.5" customHeight="1" x14ac:dyDescent="0.25">
      <c r="A69" s="67">
        <v>2</v>
      </c>
      <c r="B69" s="11"/>
      <c r="C69" s="12" t="s">
        <v>106</v>
      </c>
      <c r="D69" s="13">
        <f>SUMIF('INGRESOS REALES '!$C$4:$C$65,A69,'INGRESOS REALES '!$R$4:$R$65)</f>
        <v>0</v>
      </c>
      <c r="E69" s="13">
        <v>0</v>
      </c>
      <c r="F69" s="13">
        <f>SUMIF('INGRESOS REALES '!$C$4:$C$65,A69,'INGRESOS REALES '!$Q$4:$Q$65)</f>
        <v>0</v>
      </c>
      <c r="G69" s="111">
        <f t="shared" ref="G69" si="12">D69*1.04</f>
        <v>0</v>
      </c>
      <c r="I69" s="7" t="s">
        <v>246</v>
      </c>
      <c r="J69" s="108">
        <v>42197418.060000002</v>
      </c>
      <c r="L69" s="105"/>
    </row>
    <row r="70" spans="1:12" s="7" customFormat="1" ht="19.5" customHeight="1" x14ac:dyDescent="0.2">
      <c r="A70" s="64"/>
      <c r="B70" s="4"/>
      <c r="C70" s="4"/>
      <c r="D70" s="4"/>
      <c r="E70" s="4"/>
      <c r="F70" s="4"/>
      <c r="G70" s="4"/>
      <c r="I70" s="7" t="s">
        <v>247</v>
      </c>
      <c r="J70" s="108">
        <v>23587803.189999998</v>
      </c>
      <c r="L70" s="105"/>
    </row>
    <row r="71" spans="1:12" s="7" customFormat="1" ht="19.5" customHeight="1" x14ac:dyDescent="0.2">
      <c r="A71" s="64"/>
      <c r="B71" s="4"/>
      <c r="C71" s="4"/>
      <c r="D71" s="4"/>
      <c r="E71" s="4"/>
      <c r="F71" s="4"/>
      <c r="G71" s="4"/>
      <c r="I71" s="7" t="s">
        <v>248</v>
      </c>
      <c r="J71" s="108">
        <v>2661363.75</v>
      </c>
      <c r="L71" s="105"/>
    </row>
    <row r="72" spans="1:12" s="7" customFormat="1" ht="19.5" customHeight="1" x14ac:dyDescent="0.2">
      <c r="A72" s="64"/>
      <c r="B72" s="4"/>
      <c r="C72" s="4"/>
      <c r="D72" s="4"/>
      <c r="E72" s="4"/>
      <c r="F72" s="4"/>
      <c r="G72" s="4"/>
      <c r="I72" s="7" t="s">
        <v>249</v>
      </c>
      <c r="J72" s="108">
        <v>2866729.7800000003</v>
      </c>
      <c r="L72" s="105"/>
    </row>
    <row r="73" spans="1:12" s="7" customFormat="1" ht="19.5" customHeight="1" x14ac:dyDescent="0.2">
      <c r="A73" s="64"/>
      <c r="B73" s="4"/>
      <c r="C73" s="4"/>
      <c r="D73" s="4"/>
      <c r="E73" s="4"/>
      <c r="F73" s="4"/>
      <c r="G73" s="4"/>
      <c r="I73" s="7" t="s">
        <v>250</v>
      </c>
      <c r="J73" s="108">
        <v>1205822.22</v>
      </c>
      <c r="L73" s="105"/>
    </row>
    <row r="74" spans="1:12" s="7" customFormat="1" ht="19.5" customHeight="1" x14ac:dyDescent="0.2">
      <c r="A74" s="64"/>
      <c r="B74" s="4"/>
      <c r="C74" s="4"/>
      <c r="D74" s="4"/>
      <c r="E74" s="4"/>
      <c r="F74" s="4"/>
      <c r="G74" s="4"/>
      <c r="I74" s="7" t="s">
        <v>251</v>
      </c>
      <c r="J74" s="108">
        <v>3674112.05</v>
      </c>
      <c r="L74" s="105"/>
    </row>
    <row r="75" spans="1:12" s="7" customFormat="1" ht="19.5" customHeight="1" x14ac:dyDescent="0.2">
      <c r="A75" s="64"/>
      <c r="B75" s="4"/>
      <c r="C75" s="4"/>
      <c r="D75" s="4"/>
      <c r="E75" s="4"/>
      <c r="F75" s="4"/>
      <c r="G75" s="4"/>
      <c r="I75" s="7" t="s">
        <v>252</v>
      </c>
      <c r="J75" s="108">
        <v>956733.55</v>
      </c>
      <c r="L75" s="105"/>
    </row>
    <row r="76" spans="1:12" x14ac:dyDescent="0.2">
      <c r="I76" s="4" t="s">
        <v>253</v>
      </c>
      <c r="J76" s="107">
        <v>1156353</v>
      </c>
    </row>
    <row r="77" spans="1:12" x14ac:dyDescent="0.2">
      <c r="I77" s="4" t="s">
        <v>254</v>
      </c>
      <c r="J77" s="107">
        <v>4424704.4400000004</v>
      </c>
    </row>
    <row r="78" spans="1:12" x14ac:dyDescent="0.2">
      <c r="I78" s="4" t="s">
        <v>255</v>
      </c>
      <c r="J78" s="107">
        <v>246092.08000000002</v>
      </c>
      <c r="L78" s="106">
        <f>1557405.7*10</f>
        <v>15574057</v>
      </c>
    </row>
    <row r="79" spans="1:12" x14ac:dyDescent="0.2">
      <c r="I79" s="4" t="s">
        <v>256</v>
      </c>
      <c r="J79" s="107">
        <v>10374</v>
      </c>
      <c r="L79" s="106">
        <f>8215315.42*12</f>
        <v>98583785.039999992</v>
      </c>
    </row>
    <row r="80" spans="1:12" x14ac:dyDescent="0.2">
      <c r="I80" s="4" t="s">
        <v>257</v>
      </c>
      <c r="J80" s="107">
        <v>4188986.3600000003</v>
      </c>
      <c r="L80" s="106">
        <f>SUM(L78:L79)</f>
        <v>114157842.03999999</v>
      </c>
    </row>
    <row r="81" spans="9:14" x14ac:dyDescent="0.2">
      <c r="I81" s="4" t="s">
        <v>91</v>
      </c>
      <c r="J81" s="107">
        <v>268700639.43000001</v>
      </c>
    </row>
    <row r="82" spans="9:14" x14ac:dyDescent="0.2">
      <c r="I82" s="4" t="s">
        <v>258</v>
      </c>
      <c r="J82" s="107">
        <v>144978908.34999999</v>
      </c>
      <c r="N82" s="122" t="e">
        <f>#REF!-#REF!+60000000</f>
        <v>#REF!</v>
      </c>
    </row>
    <row r="83" spans="9:14" x14ac:dyDescent="0.2">
      <c r="I83" s="4" t="s">
        <v>259</v>
      </c>
      <c r="J83" s="107">
        <v>13724708.9</v>
      </c>
    </row>
    <row r="84" spans="9:14" x14ac:dyDescent="0.2">
      <c r="I84" s="4" t="s">
        <v>260</v>
      </c>
      <c r="J84" s="107">
        <v>89476512.109999999</v>
      </c>
    </row>
    <row r="85" spans="9:14" x14ac:dyDescent="0.2">
      <c r="I85" s="4" t="s">
        <v>261</v>
      </c>
      <c r="J85" s="107">
        <v>41776956.93</v>
      </c>
    </row>
    <row r="86" spans="9:14" x14ac:dyDescent="0.2">
      <c r="I86" s="4" t="s">
        <v>262</v>
      </c>
      <c r="J86" s="107">
        <v>123721731.08000001</v>
      </c>
    </row>
    <row r="87" spans="9:14" x14ac:dyDescent="0.2">
      <c r="I87" s="4" t="s">
        <v>263</v>
      </c>
      <c r="J87" s="107">
        <v>14079466.120000001</v>
      </c>
    </row>
    <row r="88" spans="9:14" x14ac:dyDescent="0.2">
      <c r="I88" s="4" t="s">
        <v>264</v>
      </c>
      <c r="J88" s="107">
        <v>11968273.9</v>
      </c>
    </row>
    <row r="89" spans="9:14" x14ac:dyDescent="0.2">
      <c r="I89" s="4" t="s">
        <v>265</v>
      </c>
      <c r="J89" s="107">
        <v>521922</v>
      </c>
    </row>
    <row r="90" spans="9:14" x14ac:dyDescent="0.2">
      <c r="I90" s="4" t="s">
        <v>266</v>
      </c>
      <c r="J90" s="107">
        <v>97152069.060000002</v>
      </c>
    </row>
    <row r="91" spans="9:14" x14ac:dyDescent="0.2">
      <c r="I91" s="4" t="s">
        <v>267</v>
      </c>
      <c r="J91" s="107">
        <v>3000000</v>
      </c>
    </row>
  </sheetData>
  <mergeCells count="16">
    <mergeCell ref="B2:E2"/>
    <mergeCell ref="B3:E3"/>
    <mergeCell ref="B4:E4"/>
    <mergeCell ref="B7:C7"/>
    <mergeCell ref="B8:C8"/>
    <mergeCell ref="B52:C52"/>
    <mergeCell ref="B58:C58"/>
    <mergeCell ref="G18:G19"/>
    <mergeCell ref="D24:D25"/>
    <mergeCell ref="G24:G25"/>
    <mergeCell ref="D30:D31"/>
    <mergeCell ref="G30:G31"/>
    <mergeCell ref="D35:D36"/>
    <mergeCell ref="G35:G36"/>
    <mergeCell ref="C18:C19"/>
    <mergeCell ref="D18:D19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929A-8FA8-4B78-953C-9065E57209A0}">
  <dimension ref="A1:AH310"/>
  <sheetViews>
    <sheetView tabSelected="1" zoomScale="110" zoomScaleNormal="110" workbookViewId="0">
      <selection activeCell="B2" sqref="B2:O2"/>
    </sheetView>
  </sheetViews>
  <sheetFormatPr baseColWidth="10" defaultColWidth="7.28515625" defaultRowHeight="10.5" x14ac:dyDescent="0.15"/>
  <cols>
    <col min="1" max="1" width="7.7109375" style="163" customWidth="1"/>
    <col min="2" max="2" width="41" style="163" customWidth="1"/>
    <col min="3" max="3" width="12.42578125" style="163" hidden="1" customWidth="1"/>
    <col min="4" max="5" width="11.5703125" style="163" bestFit="1" customWidth="1"/>
    <col min="6" max="6" width="11.28515625" style="163" bestFit="1" customWidth="1"/>
    <col min="7" max="7" width="11.42578125" style="163" bestFit="1" customWidth="1"/>
    <col min="8" max="8" width="11.140625" style="163" bestFit="1" customWidth="1"/>
    <col min="9" max="9" width="11.7109375" style="163" bestFit="1" customWidth="1"/>
    <col min="10" max="10" width="11.28515625" style="163" bestFit="1" customWidth="1"/>
    <col min="11" max="11" width="11" style="178" bestFit="1" customWidth="1"/>
    <col min="12" max="12" width="11.28515625" style="163" bestFit="1" customWidth="1"/>
    <col min="13" max="13" width="11.140625" style="163" customWidth="1"/>
    <col min="14" max="15" width="11.42578125" style="163" bestFit="1" customWidth="1"/>
    <col min="16" max="16" width="1.28515625" style="163" customWidth="1"/>
    <col min="17" max="18" width="10.42578125" style="163" customWidth="1"/>
    <col min="19" max="19" width="3.85546875" style="164" bestFit="1" customWidth="1"/>
    <col min="20" max="20" width="10.140625" style="163" customWidth="1"/>
    <col min="21" max="30" width="10.42578125" style="163" bestFit="1" customWidth="1"/>
    <col min="31" max="31" width="11.140625" style="163" bestFit="1" customWidth="1"/>
    <col min="32" max="32" width="10.42578125" style="163" bestFit="1" customWidth="1"/>
    <col min="33" max="33" width="11.140625" style="163" bestFit="1" customWidth="1"/>
    <col min="34" max="16384" width="7.28515625" style="163"/>
  </cols>
  <sheetData>
    <row r="1" spans="1:34" ht="23.25" customHeight="1" x14ac:dyDescent="0.2">
      <c r="B1" s="185" t="s">
        <v>403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34" ht="22.5" customHeight="1" x14ac:dyDescent="0.2">
      <c r="B2" s="185" t="s">
        <v>404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6" spans="1:34" x14ac:dyDescent="0.15">
      <c r="D6" s="170" t="s">
        <v>34</v>
      </c>
      <c r="E6" s="170" t="s">
        <v>35</v>
      </c>
      <c r="F6" s="170" t="s">
        <v>36</v>
      </c>
      <c r="G6" s="170" t="s">
        <v>37</v>
      </c>
      <c r="H6" s="170" t="s">
        <v>38</v>
      </c>
      <c r="I6" s="170" t="s">
        <v>39</v>
      </c>
      <c r="J6" s="170" t="s">
        <v>40</v>
      </c>
      <c r="K6" s="170" t="s">
        <v>41</v>
      </c>
      <c r="L6" s="170" t="s">
        <v>42</v>
      </c>
      <c r="M6" s="170" t="s">
        <v>43</v>
      </c>
      <c r="N6" s="170" t="s">
        <v>44</v>
      </c>
      <c r="O6" s="170" t="s">
        <v>45</v>
      </c>
    </row>
    <row r="7" spans="1:34" x14ac:dyDescent="0.15">
      <c r="A7" s="165">
        <v>1</v>
      </c>
      <c r="B7" s="166" t="s">
        <v>104</v>
      </c>
      <c r="C7" s="167">
        <f>SUM(D7:O7)</f>
        <v>18000000</v>
      </c>
      <c r="D7" s="168">
        <v>18000000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Q7" s="168"/>
      <c r="R7" s="168"/>
      <c r="S7" s="169"/>
      <c r="AH7" s="170"/>
    </row>
    <row r="8" spans="1:34" ht="9.9499999999999993" customHeight="1" x14ac:dyDescent="0.15">
      <c r="A8" s="165" t="s">
        <v>334</v>
      </c>
      <c r="B8" s="171" t="s">
        <v>272</v>
      </c>
      <c r="C8" s="167">
        <f t="shared" ref="C8:C71" si="0">SUM(D8:O8)</f>
        <v>18000000</v>
      </c>
      <c r="D8" s="168">
        <v>18000000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Q8" s="168"/>
      <c r="R8" s="168"/>
      <c r="S8" s="169"/>
      <c r="AH8" s="170"/>
    </row>
    <row r="9" spans="1:34" x14ac:dyDescent="0.15">
      <c r="A9" s="165">
        <v>11</v>
      </c>
      <c r="B9" s="166" t="s">
        <v>52</v>
      </c>
      <c r="C9" s="167">
        <f t="shared" si="0"/>
        <v>3118</v>
      </c>
      <c r="D9" s="168">
        <v>0</v>
      </c>
      <c r="E9" s="168">
        <v>0</v>
      </c>
      <c r="F9" s="168">
        <v>0</v>
      </c>
      <c r="G9" s="168">
        <v>0</v>
      </c>
      <c r="H9" s="168">
        <v>0</v>
      </c>
      <c r="I9" s="168">
        <v>3118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Q9" s="168"/>
      <c r="R9" s="168"/>
      <c r="S9" s="169"/>
      <c r="AH9" s="170"/>
    </row>
    <row r="10" spans="1:34" ht="9.9499999999999993" customHeight="1" x14ac:dyDescent="0.15">
      <c r="A10" s="165" t="s">
        <v>335</v>
      </c>
      <c r="B10" s="171" t="s">
        <v>273</v>
      </c>
      <c r="C10" s="167">
        <f t="shared" si="0"/>
        <v>3118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3118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Q10" s="168"/>
      <c r="R10" s="168"/>
      <c r="S10" s="169"/>
      <c r="AH10" s="170"/>
    </row>
    <row r="11" spans="1:34" x14ac:dyDescent="0.15">
      <c r="A11" s="165" t="s">
        <v>336</v>
      </c>
      <c r="B11" s="166" t="s">
        <v>274</v>
      </c>
      <c r="C11" s="167">
        <f t="shared" si="0"/>
        <v>3118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3118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Q11" s="168"/>
      <c r="R11" s="168"/>
      <c r="S11" s="169"/>
      <c r="T11" s="168"/>
      <c r="AH11" s="170"/>
    </row>
    <row r="12" spans="1:34" x14ac:dyDescent="0.15">
      <c r="A12" s="165">
        <v>12</v>
      </c>
      <c r="B12" s="166" t="s">
        <v>53</v>
      </c>
      <c r="C12" s="167">
        <f t="shared" si="0"/>
        <v>38588548.330000006</v>
      </c>
      <c r="D12" s="168">
        <v>11545886.460000001</v>
      </c>
      <c r="E12" s="168">
        <v>5632291.7699999996</v>
      </c>
      <c r="F12" s="168">
        <v>1811105.8</v>
      </c>
      <c r="G12" s="168">
        <v>1726915.69</v>
      </c>
      <c r="H12" s="168">
        <v>2910290.29</v>
      </c>
      <c r="I12" s="168">
        <v>2718989.14</v>
      </c>
      <c r="J12" s="168">
        <v>630595.28</v>
      </c>
      <c r="K12" s="168">
        <v>2014312.92</v>
      </c>
      <c r="L12" s="168">
        <v>1303723.27</v>
      </c>
      <c r="M12" s="168">
        <v>2764812.5700000003</v>
      </c>
      <c r="N12" s="168">
        <v>2764812.5700000003</v>
      </c>
      <c r="O12" s="168">
        <v>2764812.5700000003</v>
      </c>
      <c r="Q12" s="168"/>
      <c r="R12" s="168"/>
      <c r="S12" s="169"/>
      <c r="T12" s="168"/>
      <c r="AH12" s="170"/>
    </row>
    <row r="13" spans="1:34" x14ac:dyDescent="0.15">
      <c r="A13" s="165" t="s">
        <v>337</v>
      </c>
      <c r="B13" s="171" t="s">
        <v>199</v>
      </c>
      <c r="C13" s="167">
        <f t="shared" si="0"/>
        <v>22246001.229999997</v>
      </c>
      <c r="D13" s="168">
        <v>10566692</v>
      </c>
      <c r="E13" s="168">
        <v>5057700</v>
      </c>
      <c r="F13" s="168">
        <v>1098083</v>
      </c>
      <c r="G13" s="168">
        <v>1180793</v>
      </c>
      <c r="H13" s="168">
        <v>601733</v>
      </c>
      <c r="I13" s="168">
        <v>533352</v>
      </c>
      <c r="J13" s="168">
        <v>178975</v>
      </c>
      <c r="K13" s="168">
        <v>676545</v>
      </c>
      <c r="L13" s="168">
        <v>483039</v>
      </c>
      <c r="M13" s="168">
        <v>623029.74333333329</v>
      </c>
      <c r="N13" s="168">
        <v>623029.74333333329</v>
      </c>
      <c r="O13" s="168">
        <v>623029.74333333329</v>
      </c>
      <c r="Q13" s="168"/>
      <c r="R13" s="168"/>
      <c r="S13" s="169"/>
      <c r="T13" s="168"/>
      <c r="AH13" s="170"/>
    </row>
    <row r="14" spans="1:34" ht="9.9499999999999993" customHeight="1" x14ac:dyDescent="0.15">
      <c r="A14" s="165" t="s">
        <v>338</v>
      </c>
      <c r="B14" s="166" t="s">
        <v>275</v>
      </c>
      <c r="C14" s="167">
        <f t="shared" si="0"/>
        <v>21767782.229999997</v>
      </c>
      <c r="D14" s="168">
        <v>11645235</v>
      </c>
      <c r="E14" s="168">
        <v>5284534</v>
      </c>
      <c r="F14" s="168">
        <v>693336</v>
      </c>
      <c r="G14" s="168">
        <v>534116</v>
      </c>
      <c r="H14" s="168">
        <v>449418</v>
      </c>
      <c r="I14" s="168">
        <v>482984</v>
      </c>
      <c r="J14" s="168">
        <v>132293</v>
      </c>
      <c r="K14" s="168">
        <v>355328</v>
      </c>
      <c r="L14" s="168">
        <v>297794</v>
      </c>
      <c r="M14" s="168">
        <v>630914.74333333329</v>
      </c>
      <c r="N14" s="168">
        <v>630914.74333333329</v>
      </c>
      <c r="O14" s="168">
        <v>630914.74333333329</v>
      </c>
      <c r="Q14" s="168"/>
      <c r="R14" s="168"/>
      <c r="S14" s="169"/>
      <c r="T14" s="168"/>
      <c r="AH14" s="170"/>
    </row>
    <row r="15" spans="1:34" ht="9.9499999999999993" customHeight="1" x14ac:dyDescent="0.15">
      <c r="A15" s="165" t="s">
        <v>339</v>
      </c>
      <c r="B15" s="166" t="s">
        <v>276</v>
      </c>
      <c r="C15" s="167">
        <f t="shared" si="0"/>
        <v>5875455.0000000009</v>
      </c>
      <c r="D15" s="168">
        <v>2022554</v>
      </c>
      <c r="E15" s="168">
        <v>954959</v>
      </c>
      <c r="F15" s="168">
        <v>548698</v>
      </c>
      <c r="G15" s="168">
        <v>659909</v>
      </c>
      <c r="H15" s="168">
        <v>296324</v>
      </c>
      <c r="I15" s="168">
        <v>300443</v>
      </c>
      <c r="J15" s="168">
        <v>61895</v>
      </c>
      <c r="K15" s="168">
        <v>369398</v>
      </c>
      <c r="L15" s="168">
        <v>209764</v>
      </c>
      <c r="M15" s="168">
        <v>150503.66666666666</v>
      </c>
      <c r="N15" s="168">
        <v>150503.66666666666</v>
      </c>
      <c r="O15" s="168">
        <v>150503.66666666666</v>
      </c>
      <c r="Q15" s="168"/>
      <c r="R15" s="168"/>
      <c r="S15" s="169"/>
      <c r="T15" s="168"/>
      <c r="AH15" s="170"/>
    </row>
    <row r="16" spans="1:34" ht="9.9499999999999993" customHeight="1" x14ac:dyDescent="0.15">
      <c r="A16" s="165" t="s">
        <v>340</v>
      </c>
      <c r="B16" s="166" t="s">
        <v>277</v>
      </c>
      <c r="C16" s="167">
        <f t="shared" si="0"/>
        <v>-3108473.9999999995</v>
      </c>
      <c r="D16" s="172">
        <v>-1355628</v>
      </c>
      <c r="E16" s="172">
        <v>-669696</v>
      </c>
      <c r="F16" s="172">
        <v>-112900</v>
      </c>
      <c r="G16" s="172">
        <v>-13173</v>
      </c>
      <c r="H16" s="172">
        <v>-143971</v>
      </c>
      <c r="I16" s="172">
        <v>-250027</v>
      </c>
      <c r="J16" s="172">
        <v>-15213</v>
      </c>
      <c r="K16" s="168">
        <v>-48181</v>
      </c>
      <c r="L16" s="168">
        <v>-24519</v>
      </c>
      <c r="M16" s="168">
        <v>-158388.66666666666</v>
      </c>
      <c r="N16" s="168">
        <v>-158388.66666666666</v>
      </c>
      <c r="O16" s="168">
        <v>-158388.66666666666</v>
      </c>
      <c r="Q16" s="168"/>
      <c r="R16" s="168"/>
      <c r="S16" s="169"/>
      <c r="T16" s="168"/>
      <c r="AH16" s="170"/>
    </row>
    <row r="17" spans="1:34" ht="9.9499999999999993" customHeight="1" x14ac:dyDescent="0.15">
      <c r="A17" s="165" t="s">
        <v>341</v>
      </c>
      <c r="B17" s="166" t="s">
        <v>278</v>
      </c>
      <c r="C17" s="167">
        <f t="shared" si="0"/>
        <v>-2288762</v>
      </c>
      <c r="D17" s="172">
        <v>-1745469</v>
      </c>
      <c r="E17" s="172">
        <v>-512097</v>
      </c>
      <c r="F17" s="172">
        <v>-31051</v>
      </c>
      <c r="G17" s="172">
        <v>-59</v>
      </c>
      <c r="H17" s="172">
        <v>-38</v>
      </c>
      <c r="I17" s="172">
        <v>-48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Q17" s="168"/>
      <c r="R17" s="168"/>
      <c r="S17" s="169"/>
      <c r="T17" s="168"/>
      <c r="AH17" s="170"/>
    </row>
    <row r="18" spans="1:34" ht="9.9499999999999993" customHeight="1" x14ac:dyDescent="0.15">
      <c r="A18" s="165" t="s">
        <v>342</v>
      </c>
      <c r="B18" s="171" t="s">
        <v>279</v>
      </c>
      <c r="C18" s="167">
        <f t="shared" si="0"/>
        <v>16342547.1</v>
      </c>
      <c r="D18" s="168">
        <v>979194.46</v>
      </c>
      <c r="E18" s="168">
        <v>574591.77</v>
      </c>
      <c r="F18" s="168">
        <v>713022.8</v>
      </c>
      <c r="G18" s="168">
        <v>546122.68999999994</v>
      </c>
      <c r="H18" s="168">
        <v>2308557.29</v>
      </c>
      <c r="I18" s="168">
        <v>2185637.14</v>
      </c>
      <c r="J18" s="168">
        <v>451620.28</v>
      </c>
      <c r="K18" s="168">
        <v>1337767.92</v>
      </c>
      <c r="L18" s="168">
        <v>820684.27</v>
      </c>
      <c r="M18" s="168">
        <v>2141782.8266666667</v>
      </c>
      <c r="N18" s="168">
        <v>2141782.8266666667</v>
      </c>
      <c r="O18" s="168">
        <v>2141782.8266666667</v>
      </c>
      <c r="Q18" s="168"/>
      <c r="R18" s="168"/>
      <c r="T18" s="168"/>
      <c r="AH18" s="170"/>
    </row>
    <row r="19" spans="1:34" ht="9.9499999999999993" customHeight="1" x14ac:dyDescent="0.15">
      <c r="A19" s="165" t="s">
        <v>343</v>
      </c>
      <c r="B19" s="166" t="s">
        <v>280</v>
      </c>
      <c r="C19" s="167">
        <f t="shared" si="0"/>
        <v>20525931.509999998</v>
      </c>
      <c r="D19" s="168">
        <v>1043589.46</v>
      </c>
      <c r="E19" s="168">
        <v>595591.77</v>
      </c>
      <c r="F19" s="168">
        <v>801014.4</v>
      </c>
      <c r="G19" s="168">
        <v>546122.68999999994</v>
      </c>
      <c r="H19" s="168">
        <v>3917228.18</v>
      </c>
      <c r="I19" s="168">
        <v>2627125.59</v>
      </c>
      <c r="J19" s="168">
        <v>478620.28</v>
      </c>
      <c r="K19" s="168">
        <v>1351500.12</v>
      </c>
      <c r="L19" s="168">
        <v>883346.79</v>
      </c>
      <c r="M19" s="168">
        <v>2760597.4099999997</v>
      </c>
      <c r="N19" s="168">
        <v>2760597.4099999997</v>
      </c>
      <c r="O19" s="168">
        <v>2760597.4099999997</v>
      </c>
      <c r="Q19" s="168"/>
      <c r="R19" s="168"/>
      <c r="T19" s="168"/>
      <c r="AH19" s="170"/>
    </row>
    <row r="20" spans="1:34" ht="9.9499999999999993" customHeight="1" x14ac:dyDescent="0.15">
      <c r="A20" s="165" t="s">
        <v>344</v>
      </c>
      <c r="B20" s="166" t="s">
        <v>281</v>
      </c>
      <c r="C20" s="167">
        <f t="shared" si="0"/>
        <v>-4183384.4100000006</v>
      </c>
      <c r="D20" s="172">
        <v>-64395</v>
      </c>
      <c r="E20" s="172">
        <v>-21000</v>
      </c>
      <c r="F20" s="172">
        <v>-87991.6</v>
      </c>
      <c r="G20" s="168">
        <v>0</v>
      </c>
      <c r="H20" s="172">
        <v>-1608670.89</v>
      </c>
      <c r="I20" s="172">
        <v>-441488.45</v>
      </c>
      <c r="J20" s="172">
        <v>-27000</v>
      </c>
      <c r="K20" s="168">
        <v>-13732.2</v>
      </c>
      <c r="L20" s="168">
        <v>-62662.52</v>
      </c>
      <c r="M20" s="168">
        <v>-618814.58333333337</v>
      </c>
      <c r="N20" s="168">
        <v>-618814.58333333337</v>
      </c>
      <c r="O20" s="168">
        <v>-618814.58333333337</v>
      </c>
      <c r="Q20" s="168"/>
      <c r="R20" s="168"/>
      <c r="T20" s="168"/>
      <c r="AH20" s="170"/>
    </row>
    <row r="21" spans="1:34" ht="9.9499999999999993" customHeight="1" x14ac:dyDescent="0.15">
      <c r="A21" s="165">
        <v>17</v>
      </c>
      <c r="B21" s="166" t="s">
        <v>58</v>
      </c>
      <c r="C21" s="167">
        <f t="shared" si="0"/>
        <v>819553.42000000016</v>
      </c>
      <c r="D21" s="168">
        <v>61891.05</v>
      </c>
      <c r="E21" s="168">
        <v>58719.77</v>
      </c>
      <c r="F21" s="168">
        <v>56618.71</v>
      </c>
      <c r="G21" s="168">
        <v>150329.48000000001</v>
      </c>
      <c r="H21" s="168">
        <v>79586.83</v>
      </c>
      <c r="I21" s="168">
        <v>193242.5</v>
      </c>
      <c r="J21" s="168">
        <v>28809.38</v>
      </c>
      <c r="K21" s="168">
        <v>126254.69</v>
      </c>
      <c r="L21" s="168">
        <v>64101.01</v>
      </c>
      <c r="M21" s="168">
        <v>0</v>
      </c>
      <c r="N21" s="168">
        <v>0</v>
      </c>
      <c r="O21" s="168">
        <v>0</v>
      </c>
      <c r="Q21" s="168"/>
      <c r="R21" s="168"/>
      <c r="T21" s="168"/>
      <c r="AH21" s="170"/>
    </row>
    <row r="22" spans="1:34" ht="9.9499999999999993" customHeight="1" x14ac:dyDescent="0.15">
      <c r="A22" s="165" t="s">
        <v>345</v>
      </c>
      <c r="B22" s="171" t="s">
        <v>282</v>
      </c>
      <c r="C22" s="167">
        <f t="shared" si="0"/>
        <v>1166955.4200000002</v>
      </c>
      <c r="D22" s="168">
        <v>61891.05</v>
      </c>
      <c r="E22" s="168">
        <v>58719.77</v>
      </c>
      <c r="F22" s="168">
        <v>56618.71</v>
      </c>
      <c r="G22" s="168">
        <v>150329.48000000001</v>
      </c>
      <c r="H22" s="168">
        <v>79586.83</v>
      </c>
      <c r="I22" s="168">
        <v>193242.5</v>
      </c>
      <c r="J22" s="168">
        <v>28809.38</v>
      </c>
      <c r="K22" s="168">
        <v>126254.69</v>
      </c>
      <c r="L22" s="168">
        <v>64101.01</v>
      </c>
      <c r="M22" s="168">
        <v>115800.66666666667</v>
      </c>
      <c r="N22" s="168">
        <v>115800.66666666667</v>
      </c>
      <c r="O22" s="168">
        <v>115800.66666666667</v>
      </c>
      <c r="Q22" s="168"/>
      <c r="R22" s="168"/>
      <c r="T22" s="168"/>
      <c r="AH22" s="170"/>
    </row>
    <row r="23" spans="1:34" ht="9.9499999999999993" customHeight="1" x14ac:dyDescent="0.15">
      <c r="A23" s="165" t="s">
        <v>346</v>
      </c>
      <c r="B23" s="166" t="s">
        <v>283</v>
      </c>
      <c r="C23" s="167">
        <f t="shared" si="0"/>
        <v>744512.00000000012</v>
      </c>
      <c r="D23" s="168">
        <v>56548</v>
      </c>
      <c r="E23" s="168">
        <v>54767</v>
      </c>
      <c r="F23" s="168">
        <v>50852</v>
      </c>
      <c r="G23" s="168">
        <v>145376</v>
      </c>
      <c r="H23" s="168">
        <v>66959</v>
      </c>
      <c r="I23" s="168">
        <v>82567</v>
      </c>
      <c r="J23" s="168">
        <v>20774</v>
      </c>
      <c r="K23" s="168">
        <v>113844</v>
      </c>
      <c r="L23" s="168">
        <v>57805</v>
      </c>
      <c r="M23" s="168">
        <v>31673.333333333332</v>
      </c>
      <c r="N23" s="168">
        <v>31673.333333333332</v>
      </c>
      <c r="O23" s="168">
        <v>31673.333333333332</v>
      </c>
      <c r="Q23" s="168"/>
      <c r="R23" s="168"/>
      <c r="T23" s="168"/>
      <c r="AH23" s="170"/>
    </row>
    <row r="24" spans="1:34" ht="9.9499999999999993" customHeight="1" x14ac:dyDescent="0.15">
      <c r="A24" s="165" t="s">
        <v>347</v>
      </c>
      <c r="B24" s="166" t="s">
        <v>284</v>
      </c>
      <c r="C24" s="167">
        <f t="shared" si="0"/>
        <v>422443.42</v>
      </c>
      <c r="D24" s="168">
        <v>5343.05</v>
      </c>
      <c r="E24" s="168">
        <v>3952.77</v>
      </c>
      <c r="F24" s="168">
        <v>5766.71</v>
      </c>
      <c r="G24" s="168">
        <v>4953.4799999999996</v>
      </c>
      <c r="H24" s="168">
        <v>12627.83</v>
      </c>
      <c r="I24" s="168">
        <v>110675.5</v>
      </c>
      <c r="J24" s="168">
        <v>8035.38</v>
      </c>
      <c r="K24" s="168">
        <v>12410.69</v>
      </c>
      <c r="L24" s="168">
        <v>6296.01</v>
      </c>
      <c r="M24" s="168">
        <v>84127.333333333328</v>
      </c>
      <c r="N24" s="168">
        <v>84127.333333333328</v>
      </c>
      <c r="O24" s="168">
        <v>84127.333333333328</v>
      </c>
      <c r="Q24" s="168"/>
      <c r="R24" s="168"/>
      <c r="T24" s="168"/>
      <c r="AH24" s="170"/>
    </row>
    <row r="25" spans="1:34" ht="9.9499999999999993" customHeight="1" x14ac:dyDescent="0.15">
      <c r="A25" s="165">
        <v>31</v>
      </c>
      <c r="B25" s="166" t="s">
        <v>62</v>
      </c>
      <c r="C25" s="167">
        <f t="shared" si="0"/>
        <v>0</v>
      </c>
      <c r="D25" s="168">
        <v>0</v>
      </c>
      <c r="E25" s="168">
        <v>0</v>
      </c>
      <c r="F25" s="168">
        <v>0</v>
      </c>
      <c r="G25" s="168">
        <v>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Q25" s="168"/>
      <c r="R25" s="168"/>
      <c r="T25" s="168"/>
      <c r="AH25" s="170"/>
    </row>
    <row r="26" spans="1:34" ht="9.9499999999999993" customHeight="1" x14ac:dyDescent="0.15">
      <c r="A26" s="165" t="s">
        <v>348</v>
      </c>
      <c r="B26" s="171" t="s">
        <v>210</v>
      </c>
      <c r="C26" s="167">
        <f t="shared" si="0"/>
        <v>0</v>
      </c>
      <c r="D26" s="168">
        <v>0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  <c r="Q26" s="168"/>
      <c r="R26" s="168"/>
      <c r="T26" s="168"/>
      <c r="AH26" s="170"/>
    </row>
    <row r="27" spans="1:34" ht="9.9499999999999993" customHeight="1" x14ac:dyDescent="0.15">
      <c r="A27" s="165" t="s">
        <v>349</v>
      </c>
      <c r="B27" s="166" t="s">
        <v>285</v>
      </c>
      <c r="C27" s="167">
        <f t="shared" si="0"/>
        <v>0</v>
      </c>
      <c r="D27" s="168">
        <v>0</v>
      </c>
      <c r="E27" s="168">
        <v>0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Q27" s="168"/>
      <c r="R27" s="168"/>
      <c r="T27" s="168"/>
      <c r="AH27" s="170"/>
    </row>
    <row r="28" spans="1:34" ht="9.9499999999999993" customHeight="1" x14ac:dyDescent="0.15">
      <c r="A28" s="165">
        <v>41</v>
      </c>
      <c r="B28" s="166" t="s">
        <v>212</v>
      </c>
      <c r="C28" s="167">
        <f t="shared" si="0"/>
        <v>0</v>
      </c>
      <c r="D28" s="168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Q28" s="168"/>
      <c r="R28" s="168"/>
      <c r="T28" s="168"/>
      <c r="AH28" s="170"/>
    </row>
    <row r="29" spans="1:34" ht="9.9499999999999993" customHeight="1" x14ac:dyDescent="0.15">
      <c r="A29" s="165" t="s">
        <v>350</v>
      </c>
      <c r="B29" s="171" t="s">
        <v>286</v>
      </c>
      <c r="C29" s="167">
        <f t="shared" si="0"/>
        <v>0</v>
      </c>
      <c r="D29" s="168">
        <v>0</v>
      </c>
      <c r="E29" s="168">
        <v>0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  <c r="Q29" s="168"/>
      <c r="R29" s="168"/>
      <c r="T29" s="168"/>
      <c r="AH29" s="170"/>
    </row>
    <row r="30" spans="1:34" ht="9.9499999999999993" customHeight="1" x14ac:dyDescent="0.15">
      <c r="A30" s="165" t="s">
        <v>351</v>
      </c>
      <c r="B30" s="166" t="s">
        <v>287</v>
      </c>
      <c r="C30" s="167">
        <f t="shared" si="0"/>
        <v>0</v>
      </c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  <c r="Q30" s="168"/>
      <c r="R30" s="168"/>
      <c r="T30" s="168"/>
      <c r="AH30" s="170"/>
    </row>
    <row r="31" spans="1:34" ht="9.9499999999999993" customHeight="1" x14ac:dyDescent="0.15">
      <c r="A31" s="165">
        <v>43</v>
      </c>
      <c r="B31" s="166" t="s">
        <v>68</v>
      </c>
      <c r="C31" s="167">
        <f t="shared" si="0"/>
        <v>19187002.829999994</v>
      </c>
      <c r="D31" s="168">
        <v>145421.04</v>
      </c>
      <c r="E31" s="168">
        <v>1020796.24</v>
      </c>
      <c r="F31" s="168">
        <v>1632136.96</v>
      </c>
      <c r="G31" s="168">
        <v>1142052.73</v>
      </c>
      <c r="H31" s="168">
        <v>547325.43999999994</v>
      </c>
      <c r="I31" s="168">
        <v>263974.77</v>
      </c>
      <c r="J31" s="168">
        <v>122237.3</v>
      </c>
      <c r="K31" s="168">
        <v>560681.85</v>
      </c>
      <c r="L31" s="168">
        <v>11155110.300000001</v>
      </c>
      <c r="M31" s="168">
        <v>865755.4</v>
      </c>
      <c r="N31" s="168">
        <v>865755.4</v>
      </c>
      <c r="O31" s="168">
        <v>865755.4</v>
      </c>
      <c r="Q31" s="168"/>
      <c r="R31" s="168"/>
      <c r="T31" s="168"/>
      <c r="AH31" s="170"/>
    </row>
    <row r="32" spans="1:34" ht="9.9499999999999993" customHeight="1" x14ac:dyDescent="0.15">
      <c r="A32" s="165" t="s">
        <v>352</v>
      </c>
      <c r="B32" s="171" t="s">
        <v>288</v>
      </c>
      <c r="C32" s="167">
        <f t="shared" si="0"/>
        <v>0</v>
      </c>
      <c r="D32" s="168">
        <v>0</v>
      </c>
      <c r="E32" s="168">
        <v>0</v>
      </c>
      <c r="F32" s="168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Q32" s="168"/>
      <c r="R32" s="168"/>
      <c r="T32" s="168"/>
      <c r="AH32" s="170"/>
    </row>
    <row r="33" spans="1:34" ht="9.9499999999999993" customHeight="1" x14ac:dyDescent="0.15">
      <c r="A33" s="165" t="s">
        <v>353</v>
      </c>
      <c r="B33" s="166" t="s">
        <v>289</v>
      </c>
      <c r="C33" s="167">
        <f t="shared" si="0"/>
        <v>0</v>
      </c>
      <c r="D33" s="168">
        <v>0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Q33" s="168"/>
      <c r="R33" s="168"/>
      <c r="T33" s="168"/>
      <c r="AH33" s="170"/>
    </row>
    <row r="34" spans="1:34" ht="9.9499999999999993" customHeight="1" x14ac:dyDescent="0.15">
      <c r="A34" s="165" t="s">
        <v>354</v>
      </c>
      <c r="B34" s="171" t="s">
        <v>290</v>
      </c>
      <c r="C34" s="167">
        <f t="shared" si="0"/>
        <v>17371850.260000002</v>
      </c>
      <c r="D34" s="168">
        <v>71154.42</v>
      </c>
      <c r="E34" s="168">
        <v>555952.30000000005</v>
      </c>
      <c r="F34" s="168">
        <v>1438114.51</v>
      </c>
      <c r="G34" s="168">
        <v>1036485.27</v>
      </c>
      <c r="H34" s="168">
        <v>402688.75</v>
      </c>
      <c r="I34" s="168">
        <v>221342.46</v>
      </c>
      <c r="J34" s="168">
        <v>26095.7</v>
      </c>
      <c r="K34" s="168">
        <v>218783.46</v>
      </c>
      <c r="L34" s="168">
        <v>10971052.43</v>
      </c>
      <c r="M34" s="168">
        <v>810060.32</v>
      </c>
      <c r="N34" s="168">
        <v>810060.32</v>
      </c>
      <c r="O34" s="168">
        <v>810060.32</v>
      </c>
      <c r="Q34" s="168"/>
      <c r="R34" s="168"/>
      <c r="AH34" s="170"/>
    </row>
    <row r="35" spans="1:34" ht="9.9499999999999993" customHeight="1" x14ac:dyDescent="0.15">
      <c r="A35" s="165" t="s">
        <v>355</v>
      </c>
      <c r="B35" s="166" t="s">
        <v>291</v>
      </c>
      <c r="C35" s="167">
        <f t="shared" si="0"/>
        <v>17911358.199999999</v>
      </c>
      <c r="D35" s="168">
        <v>73836.710000000006</v>
      </c>
      <c r="E35" s="168">
        <v>971397.82</v>
      </c>
      <c r="F35" s="168">
        <v>1445997.28</v>
      </c>
      <c r="G35" s="168">
        <v>1087949.06</v>
      </c>
      <c r="H35" s="168">
        <v>404702.7</v>
      </c>
      <c r="I35" s="168">
        <v>221342.46</v>
      </c>
      <c r="J35" s="168">
        <v>31710.76</v>
      </c>
      <c r="K35" s="168">
        <v>253979.8</v>
      </c>
      <c r="L35" s="168">
        <v>10990260.65</v>
      </c>
      <c r="M35" s="168">
        <v>810060.32</v>
      </c>
      <c r="N35" s="168">
        <v>810060.32</v>
      </c>
      <c r="O35" s="168">
        <v>810060.32</v>
      </c>
      <c r="Q35" s="168"/>
      <c r="R35" s="168"/>
      <c r="T35" s="168"/>
      <c r="AH35" s="170"/>
    </row>
    <row r="36" spans="1:34" ht="9.9499999999999993" customHeight="1" x14ac:dyDescent="0.15">
      <c r="A36" s="165" t="s">
        <v>356</v>
      </c>
      <c r="B36" s="166" t="s">
        <v>292</v>
      </c>
      <c r="C36" s="167">
        <f t="shared" si="0"/>
        <v>-539507.93999999994</v>
      </c>
      <c r="D36" s="172">
        <v>-2682.29</v>
      </c>
      <c r="E36" s="172">
        <v>-415445.52</v>
      </c>
      <c r="F36" s="172">
        <v>-7882.77</v>
      </c>
      <c r="G36" s="172">
        <v>-51463.79</v>
      </c>
      <c r="H36" s="172">
        <v>-2013.95</v>
      </c>
      <c r="I36" s="168">
        <v>0</v>
      </c>
      <c r="J36" s="172">
        <v>-5615.06</v>
      </c>
      <c r="K36" s="168">
        <v>-35196.339999999997</v>
      </c>
      <c r="L36" s="168">
        <v>-19208.22</v>
      </c>
      <c r="M36" s="168">
        <v>0</v>
      </c>
      <c r="N36" s="168">
        <v>0</v>
      </c>
      <c r="O36" s="168">
        <v>0</v>
      </c>
      <c r="Q36" s="168"/>
      <c r="R36" s="168"/>
      <c r="T36" s="168"/>
      <c r="AH36" s="170"/>
    </row>
    <row r="37" spans="1:34" ht="9.9499999999999993" customHeight="1" x14ac:dyDescent="0.15">
      <c r="A37" s="165" t="s">
        <v>357</v>
      </c>
      <c r="B37" s="171" t="s">
        <v>293</v>
      </c>
      <c r="C37" s="167">
        <f t="shared" si="0"/>
        <v>18150</v>
      </c>
      <c r="D37" s="168">
        <v>300</v>
      </c>
      <c r="E37" s="168">
        <v>2250</v>
      </c>
      <c r="F37" s="168">
        <v>3000</v>
      </c>
      <c r="G37" s="168">
        <v>2100</v>
      </c>
      <c r="H37" s="168">
        <v>1650</v>
      </c>
      <c r="I37" s="168">
        <v>1050</v>
      </c>
      <c r="J37" s="168">
        <v>600</v>
      </c>
      <c r="K37" s="168">
        <v>2400</v>
      </c>
      <c r="L37" s="168">
        <v>750</v>
      </c>
      <c r="M37" s="168">
        <v>1350</v>
      </c>
      <c r="N37" s="168">
        <v>1350</v>
      </c>
      <c r="O37" s="168">
        <v>1350</v>
      </c>
      <c r="Q37" s="168"/>
      <c r="R37" s="168"/>
      <c r="T37" s="168"/>
      <c r="AH37" s="170"/>
    </row>
    <row r="38" spans="1:34" ht="9.9499999999999993" customHeight="1" x14ac:dyDescent="0.15">
      <c r="A38" s="165" t="s">
        <v>358</v>
      </c>
      <c r="B38" s="166" t="s">
        <v>294</v>
      </c>
      <c r="C38" s="167">
        <f t="shared" si="0"/>
        <v>18150</v>
      </c>
      <c r="D38" s="168">
        <v>300</v>
      </c>
      <c r="E38" s="168">
        <v>2250</v>
      </c>
      <c r="F38" s="168">
        <v>3000</v>
      </c>
      <c r="G38" s="168">
        <v>2100</v>
      </c>
      <c r="H38" s="168">
        <v>1650</v>
      </c>
      <c r="I38" s="168">
        <v>1050</v>
      </c>
      <c r="J38" s="168">
        <v>600</v>
      </c>
      <c r="K38" s="168">
        <v>2400</v>
      </c>
      <c r="L38" s="168">
        <v>750</v>
      </c>
      <c r="M38" s="168">
        <v>1350</v>
      </c>
      <c r="N38" s="168">
        <v>1350</v>
      </c>
      <c r="O38" s="168">
        <v>1350</v>
      </c>
      <c r="Q38" s="168"/>
      <c r="R38" s="168"/>
      <c r="AH38" s="170"/>
    </row>
    <row r="39" spans="1:34" ht="9.9499999999999993" customHeight="1" x14ac:dyDescent="0.15">
      <c r="A39" s="165" t="s">
        <v>359</v>
      </c>
      <c r="B39" s="171" t="s">
        <v>295</v>
      </c>
      <c r="C39" s="167">
        <f t="shared" si="0"/>
        <v>778075.44000000006</v>
      </c>
      <c r="D39" s="168">
        <v>0</v>
      </c>
      <c r="E39" s="168">
        <v>276464.96000000002</v>
      </c>
      <c r="F39" s="168">
        <v>131912.28</v>
      </c>
      <c r="G39" s="168">
        <v>33656.699999999997</v>
      </c>
      <c r="H39" s="168">
        <v>85118.88</v>
      </c>
      <c r="I39" s="168">
        <v>1954.26</v>
      </c>
      <c r="J39" s="168">
        <v>44622.27</v>
      </c>
      <c r="K39" s="168">
        <v>977.13</v>
      </c>
      <c r="L39" s="168">
        <v>144548.38</v>
      </c>
      <c r="M39" s="168">
        <v>19606.86</v>
      </c>
      <c r="N39" s="168">
        <v>19606.86</v>
      </c>
      <c r="O39" s="168">
        <v>19606.86</v>
      </c>
      <c r="Q39" s="168"/>
      <c r="R39" s="168"/>
      <c r="T39" s="168"/>
      <c r="AH39" s="170"/>
    </row>
    <row r="40" spans="1:34" ht="9.9499999999999993" customHeight="1" x14ac:dyDescent="0.15">
      <c r="A40" s="165" t="s">
        <v>360</v>
      </c>
      <c r="B40" s="166" t="s">
        <v>296</v>
      </c>
      <c r="C40" s="167">
        <f t="shared" si="0"/>
        <v>124617.24</v>
      </c>
      <c r="D40" s="168">
        <v>0</v>
      </c>
      <c r="E40" s="168">
        <v>2000</v>
      </c>
      <c r="F40" s="168">
        <v>0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122617.24</v>
      </c>
      <c r="M40" s="168">
        <v>0</v>
      </c>
      <c r="N40" s="168">
        <v>0</v>
      </c>
      <c r="O40" s="168">
        <v>0</v>
      </c>
      <c r="Q40" s="168"/>
      <c r="R40" s="168"/>
      <c r="T40" s="168"/>
      <c r="AH40" s="170"/>
    </row>
    <row r="41" spans="1:34" ht="9.9499999999999993" customHeight="1" x14ac:dyDescent="0.15">
      <c r="A41" s="165" t="s">
        <v>361</v>
      </c>
      <c r="B41" s="166" t="s">
        <v>297</v>
      </c>
      <c r="C41" s="167">
        <f t="shared" si="0"/>
        <v>672186.52000000014</v>
      </c>
      <c r="D41" s="168">
        <v>0</v>
      </c>
      <c r="E41" s="168">
        <v>276907.78000000003</v>
      </c>
      <c r="F41" s="168">
        <v>148197.78</v>
      </c>
      <c r="G41" s="168">
        <v>33656.699999999997</v>
      </c>
      <c r="H41" s="168">
        <v>85118.88</v>
      </c>
      <c r="I41" s="168">
        <v>1954.26</v>
      </c>
      <c r="J41" s="168">
        <v>44622.27</v>
      </c>
      <c r="K41" s="168">
        <v>977.13</v>
      </c>
      <c r="L41" s="168">
        <v>21931.14</v>
      </c>
      <c r="M41" s="168">
        <v>19606.86</v>
      </c>
      <c r="N41" s="168">
        <v>19606.86</v>
      </c>
      <c r="O41" s="168">
        <v>19606.86</v>
      </c>
      <c r="Q41" s="168"/>
      <c r="R41" s="168"/>
      <c r="T41" s="168"/>
      <c r="AH41" s="170"/>
    </row>
    <row r="42" spans="1:34" ht="9.9499999999999993" customHeight="1" x14ac:dyDescent="0.15">
      <c r="A42" s="165" t="s">
        <v>362</v>
      </c>
      <c r="B42" s="166" t="s">
        <v>292</v>
      </c>
      <c r="C42" s="167">
        <f t="shared" si="0"/>
        <v>-18728.32</v>
      </c>
      <c r="D42" s="168">
        <v>0</v>
      </c>
      <c r="E42" s="172">
        <v>-2442.8200000000002</v>
      </c>
      <c r="F42" s="172">
        <v>-16285.5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Q42" s="168"/>
      <c r="R42" s="168"/>
      <c r="AH42" s="170"/>
    </row>
    <row r="43" spans="1:34" ht="9.9499999999999993" customHeight="1" x14ac:dyDescent="0.15">
      <c r="A43" s="165" t="s">
        <v>363</v>
      </c>
      <c r="B43" s="171" t="s">
        <v>226</v>
      </c>
      <c r="C43" s="167">
        <f t="shared" si="0"/>
        <v>1202447.6099999999</v>
      </c>
      <c r="D43" s="168">
        <v>73966.62</v>
      </c>
      <c r="E43" s="168">
        <v>170128.98</v>
      </c>
      <c r="F43" s="168">
        <v>59110.17</v>
      </c>
      <c r="G43" s="168">
        <v>50810.76</v>
      </c>
      <c r="H43" s="168">
        <v>57867.81</v>
      </c>
      <c r="I43" s="168">
        <v>39628.050000000003</v>
      </c>
      <c r="J43" s="168">
        <v>50919.33</v>
      </c>
      <c r="K43" s="168">
        <v>338521.26</v>
      </c>
      <c r="L43" s="168">
        <v>38759.49</v>
      </c>
      <c r="M43" s="168">
        <v>107578.38</v>
      </c>
      <c r="N43" s="168">
        <v>107578.38</v>
      </c>
      <c r="O43" s="168">
        <v>107578.38</v>
      </c>
      <c r="Q43" s="168"/>
      <c r="R43" s="168"/>
      <c r="T43" s="168"/>
      <c r="AH43" s="170"/>
    </row>
    <row r="44" spans="1:34" ht="9.9499999999999993" customHeight="1" x14ac:dyDescent="0.15">
      <c r="A44" s="165" t="s">
        <v>364</v>
      </c>
      <c r="B44" s="166" t="s">
        <v>298</v>
      </c>
      <c r="C44" s="167">
        <f t="shared" si="0"/>
        <v>484784.16</v>
      </c>
      <c r="D44" s="168">
        <v>19191.900000000001</v>
      </c>
      <c r="E44" s="168">
        <v>93984.45</v>
      </c>
      <c r="F44" s="168">
        <v>7430.85</v>
      </c>
      <c r="G44" s="168">
        <v>0</v>
      </c>
      <c r="H44" s="168">
        <v>11399.85</v>
      </c>
      <c r="I44" s="168">
        <v>3799.95</v>
      </c>
      <c r="J44" s="168">
        <v>3799.95</v>
      </c>
      <c r="K44" s="168">
        <v>274464.96000000002</v>
      </c>
      <c r="L44" s="168">
        <v>3799.95</v>
      </c>
      <c r="M44" s="168">
        <v>22304.1</v>
      </c>
      <c r="N44" s="168">
        <v>22304.1</v>
      </c>
      <c r="O44" s="168">
        <v>22304.1</v>
      </c>
      <c r="Q44" s="168"/>
      <c r="R44" s="168"/>
      <c r="T44" s="168"/>
      <c r="AH44" s="170"/>
    </row>
    <row r="45" spans="1:34" ht="9.9499999999999993" customHeight="1" x14ac:dyDescent="0.15">
      <c r="A45" s="165" t="s">
        <v>365</v>
      </c>
      <c r="B45" s="166" t="s">
        <v>299</v>
      </c>
      <c r="C45" s="167">
        <f t="shared" si="0"/>
        <v>712994.94000000006</v>
      </c>
      <c r="D45" s="168">
        <v>54774.720000000001</v>
      </c>
      <c r="E45" s="168">
        <v>71476.02</v>
      </c>
      <c r="F45" s="168">
        <v>51679.32</v>
      </c>
      <c r="G45" s="168">
        <v>50810.76</v>
      </c>
      <c r="H45" s="168">
        <v>46467.96</v>
      </c>
      <c r="I45" s="168">
        <v>35828.1</v>
      </c>
      <c r="J45" s="168">
        <v>47119.38</v>
      </c>
      <c r="K45" s="168">
        <v>64056.3</v>
      </c>
      <c r="L45" s="168">
        <v>34959.54</v>
      </c>
      <c r="M45" s="168">
        <v>85274.28</v>
      </c>
      <c r="N45" s="168">
        <v>85274.28</v>
      </c>
      <c r="O45" s="168">
        <v>85274.28</v>
      </c>
      <c r="Q45" s="168"/>
      <c r="R45" s="168"/>
      <c r="T45" s="168"/>
      <c r="AH45" s="170"/>
    </row>
    <row r="46" spans="1:34" ht="9.9499999999999993" customHeight="1" x14ac:dyDescent="0.15">
      <c r="A46" s="165" t="s">
        <v>366</v>
      </c>
      <c r="B46" s="166" t="s">
        <v>300</v>
      </c>
      <c r="C46" s="167">
        <f t="shared" si="0"/>
        <v>4668.51</v>
      </c>
      <c r="D46" s="168">
        <v>0</v>
      </c>
      <c r="E46" s="168">
        <v>4668.51</v>
      </c>
      <c r="F46" s="168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68">
        <v>0</v>
      </c>
      <c r="Q46" s="168"/>
      <c r="R46" s="168"/>
      <c r="AH46" s="170"/>
    </row>
    <row r="47" spans="1:34" ht="9.9499999999999993" customHeight="1" x14ac:dyDescent="0.15">
      <c r="A47" s="165" t="s">
        <v>367</v>
      </c>
      <c r="B47" s="171" t="s">
        <v>230</v>
      </c>
      <c r="C47" s="167">
        <f t="shared" si="0"/>
        <v>150650</v>
      </c>
      <c r="D47" s="168">
        <v>0</v>
      </c>
      <c r="E47" s="168">
        <v>16000</v>
      </c>
      <c r="F47" s="168">
        <v>0</v>
      </c>
      <c r="G47" s="168">
        <v>19000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38550</v>
      </c>
      <c r="N47" s="168">
        <v>38550</v>
      </c>
      <c r="O47" s="168">
        <v>38550</v>
      </c>
      <c r="Q47" s="168"/>
      <c r="R47" s="168"/>
      <c r="T47" s="168"/>
      <c r="AH47" s="170"/>
    </row>
    <row r="48" spans="1:34" ht="9.9499999999999993" customHeight="1" x14ac:dyDescent="0.15">
      <c r="A48" s="165" t="s">
        <v>368</v>
      </c>
      <c r="B48" s="166" t="s">
        <v>301</v>
      </c>
      <c r="C48" s="167">
        <f t="shared" si="0"/>
        <v>150650</v>
      </c>
      <c r="D48" s="168">
        <v>0</v>
      </c>
      <c r="E48" s="168">
        <v>16000</v>
      </c>
      <c r="F48" s="168">
        <v>0</v>
      </c>
      <c r="G48" s="168">
        <v>19000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38550</v>
      </c>
      <c r="N48" s="168">
        <v>38550</v>
      </c>
      <c r="O48" s="168">
        <v>38550</v>
      </c>
      <c r="Q48" s="168"/>
      <c r="R48" s="168"/>
      <c r="T48" s="168"/>
      <c r="AH48" s="170"/>
    </row>
    <row r="49" spans="1:34" ht="9.9499999999999993" customHeight="1" x14ac:dyDescent="0.15">
      <c r="A49" s="165">
        <v>45</v>
      </c>
      <c r="B49" s="166" t="s">
        <v>58</v>
      </c>
      <c r="C49" s="167">
        <f t="shared" si="0"/>
        <v>0</v>
      </c>
      <c r="D49" s="168">
        <v>0</v>
      </c>
      <c r="E49" s="168">
        <v>0</v>
      </c>
      <c r="F49" s="168">
        <v>0</v>
      </c>
      <c r="G49" s="168">
        <v>0</v>
      </c>
      <c r="H49" s="168">
        <v>0</v>
      </c>
      <c r="I49" s="168">
        <v>0</v>
      </c>
      <c r="J49" s="168">
        <v>0</v>
      </c>
      <c r="K49" s="168">
        <v>0</v>
      </c>
      <c r="L49" s="168">
        <v>0</v>
      </c>
      <c r="M49" s="168">
        <v>0</v>
      </c>
      <c r="N49" s="168">
        <v>0</v>
      </c>
      <c r="O49" s="168">
        <v>0</v>
      </c>
      <c r="Q49" s="168"/>
      <c r="R49" s="168"/>
      <c r="T49" s="168"/>
      <c r="AH49" s="170"/>
    </row>
    <row r="50" spans="1:34" ht="9.9499999999999993" customHeight="1" x14ac:dyDescent="0.15">
      <c r="A50" s="165" t="s">
        <v>369</v>
      </c>
      <c r="B50" s="171" t="s">
        <v>302</v>
      </c>
      <c r="C50" s="167">
        <f t="shared" si="0"/>
        <v>0</v>
      </c>
      <c r="D50" s="168">
        <v>0</v>
      </c>
      <c r="E50" s="168">
        <v>0</v>
      </c>
      <c r="F50" s="168">
        <v>0</v>
      </c>
      <c r="G50" s="168">
        <v>0</v>
      </c>
      <c r="H50" s="168">
        <v>0</v>
      </c>
      <c r="I50" s="168">
        <v>0</v>
      </c>
      <c r="J50" s="168">
        <v>0</v>
      </c>
      <c r="K50" s="168">
        <v>0</v>
      </c>
      <c r="L50" s="168">
        <v>0</v>
      </c>
      <c r="M50" s="168">
        <v>0</v>
      </c>
      <c r="N50" s="168">
        <v>0</v>
      </c>
      <c r="O50" s="168">
        <v>0</v>
      </c>
      <c r="Q50" s="168"/>
      <c r="R50" s="168"/>
      <c r="AH50" s="170"/>
    </row>
    <row r="51" spans="1:34" ht="9.9499999999999993" customHeight="1" x14ac:dyDescent="0.15">
      <c r="A51" s="165" t="s">
        <v>370</v>
      </c>
      <c r="B51" s="166" t="s">
        <v>303</v>
      </c>
      <c r="C51" s="167">
        <f t="shared" si="0"/>
        <v>0</v>
      </c>
      <c r="D51" s="168">
        <v>0</v>
      </c>
      <c r="E51" s="168">
        <v>0</v>
      </c>
      <c r="F51" s="168">
        <v>0</v>
      </c>
      <c r="G51" s="168">
        <v>0</v>
      </c>
      <c r="H51" s="168">
        <v>0</v>
      </c>
      <c r="I51" s="168">
        <v>0</v>
      </c>
      <c r="J51" s="168">
        <v>0</v>
      </c>
      <c r="K51" s="168">
        <v>0</v>
      </c>
      <c r="L51" s="168">
        <v>0</v>
      </c>
      <c r="M51" s="168">
        <v>0</v>
      </c>
      <c r="N51" s="168">
        <v>0</v>
      </c>
      <c r="O51" s="168">
        <v>0</v>
      </c>
      <c r="Q51" s="168"/>
      <c r="R51" s="168"/>
      <c r="T51" s="168"/>
      <c r="AH51" s="170"/>
    </row>
    <row r="52" spans="1:34" ht="9.9499999999999993" customHeight="1" x14ac:dyDescent="0.15">
      <c r="A52" s="165">
        <v>51</v>
      </c>
      <c r="B52" s="166" t="s">
        <v>304</v>
      </c>
      <c r="C52" s="167">
        <f t="shared" si="0"/>
        <v>371825.67000000004</v>
      </c>
      <c r="D52" s="168">
        <v>29938.28</v>
      </c>
      <c r="E52" s="168">
        <v>16963.93</v>
      </c>
      <c r="F52" s="168">
        <v>16808.21</v>
      </c>
      <c r="G52" s="168">
        <v>19263.02</v>
      </c>
      <c r="H52" s="168">
        <v>18118.060000000001</v>
      </c>
      <c r="I52" s="168">
        <v>11171.86</v>
      </c>
      <c r="J52" s="168">
        <v>4603.8</v>
      </c>
      <c r="K52" s="168">
        <v>11153.64</v>
      </c>
      <c r="L52" s="168">
        <v>10500</v>
      </c>
      <c r="M52" s="168">
        <v>77768.290000000008</v>
      </c>
      <c r="N52" s="168">
        <v>77768.290000000008</v>
      </c>
      <c r="O52" s="168">
        <v>77768.290000000008</v>
      </c>
      <c r="Q52" s="168"/>
      <c r="R52" s="168"/>
      <c r="T52" s="168"/>
      <c r="AH52" s="170"/>
    </row>
    <row r="53" spans="1:34" ht="9.9499999999999993" customHeight="1" x14ac:dyDescent="0.15">
      <c r="A53" s="165" t="s">
        <v>371</v>
      </c>
      <c r="B53" s="171" t="s">
        <v>305</v>
      </c>
      <c r="C53" s="167">
        <f t="shared" si="0"/>
        <v>0</v>
      </c>
      <c r="D53" s="168">
        <v>0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>
        <v>0</v>
      </c>
      <c r="O53" s="168">
        <v>0</v>
      </c>
      <c r="Q53" s="168"/>
      <c r="R53" s="168"/>
      <c r="T53" s="168"/>
      <c r="AH53" s="170"/>
    </row>
    <row r="54" spans="1:34" ht="9.9499999999999993" customHeight="1" x14ac:dyDescent="0.15">
      <c r="A54" s="165" t="s">
        <v>372</v>
      </c>
      <c r="B54" s="166" t="s">
        <v>306</v>
      </c>
      <c r="C54" s="167">
        <f t="shared" si="0"/>
        <v>0</v>
      </c>
      <c r="D54" s="168">
        <v>0</v>
      </c>
      <c r="E54" s="168">
        <v>0</v>
      </c>
      <c r="F54" s="168">
        <v>0</v>
      </c>
      <c r="G54" s="168">
        <v>0</v>
      </c>
      <c r="H54" s="168">
        <v>0</v>
      </c>
      <c r="I54" s="168">
        <v>0</v>
      </c>
      <c r="J54" s="168">
        <v>0</v>
      </c>
      <c r="K54" s="168">
        <v>0</v>
      </c>
      <c r="L54" s="168">
        <v>0</v>
      </c>
      <c r="M54" s="168">
        <v>0</v>
      </c>
      <c r="N54" s="168">
        <v>0</v>
      </c>
      <c r="O54" s="168">
        <v>0</v>
      </c>
      <c r="Q54" s="168"/>
      <c r="R54" s="168"/>
      <c r="AH54" s="170"/>
    </row>
    <row r="55" spans="1:34" ht="9.9499999999999993" customHeight="1" x14ac:dyDescent="0.15">
      <c r="A55" s="165" t="s">
        <v>373</v>
      </c>
      <c r="B55" s="171" t="s">
        <v>237</v>
      </c>
      <c r="C55" s="167">
        <f t="shared" si="0"/>
        <v>298495</v>
      </c>
      <c r="D55" s="168">
        <v>25150</v>
      </c>
      <c r="E55" s="168">
        <v>11850</v>
      </c>
      <c r="F55" s="168">
        <v>11500</v>
      </c>
      <c r="G55" s="168">
        <v>13700</v>
      </c>
      <c r="H55" s="168">
        <v>13200</v>
      </c>
      <c r="I55" s="168">
        <v>6670</v>
      </c>
      <c r="J55" s="168">
        <v>1000</v>
      </c>
      <c r="K55" s="168">
        <v>7750</v>
      </c>
      <c r="L55" s="168">
        <v>10500</v>
      </c>
      <c r="M55" s="168">
        <v>65725</v>
      </c>
      <c r="N55" s="168">
        <v>65725</v>
      </c>
      <c r="O55" s="168">
        <v>65725</v>
      </c>
      <c r="Q55" s="168"/>
      <c r="R55" s="168"/>
      <c r="T55" s="168"/>
      <c r="AH55" s="170"/>
    </row>
    <row r="56" spans="1:34" ht="9.9499999999999993" customHeight="1" x14ac:dyDescent="0.15">
      <c r="A56" s="165" t="s">
        <v>374</v>
      </c>
      <c r="B56" s="166" t="s">
        <v>307</v>
      </c>
      <c r="C56" s="167">
        <f t="shared" si="0"/>
        <v>15000</v>
      </c>
      <c r="D56" s="168">
        <v>0</v>
      </c>
      <c r="E56" s="168">
        <v>0</v>
      </c>
      <c r="F56" s="168">
        <v>0</v>
      </c>
      <c r="G56" s="168">
        <v>6000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3000</v>
      </c>
      <c r="N56" s="168">
        <v>3000</v>
      </c>
      <c r="O56" s="168">
        <v>3000</v>
      </c>
      <c r="Q56" s="168"/>
      <c r="R56" s="168"/>
      <c r="T56" s="168"/>
      <c r="AH56" s="170"/>
    </row>
    <row r="57" spans="1:34" ht="9.9499999999999993" customHeight="1" x14ac:dyDescent="0.15">
      <c r="A57" s="165" t="s">
        <v>375</v>
      </c>
      <c r="B57" s="166" t="s">
        <v>308</v>
      </c>
      <c r="C57" s="167">
        <f t="shared" si="0"/>
        <v>283495</v>
      </c>
      <c r="D57" s="168">
        <v>25150</v>
      </c>
      <c r="E57" s="168">
        <v>11850</v>
      </c>
      <c r="F57" s="168">
        <v>11500</v>
      </c>
      <c r="G57" s="168">
        <v>7700</v>
      </c>
      <c r="H57" s="168">
        <v>13200</v>
      </c>
      <c r="I57" s="168">
        <v>6670</v>
      </c>
      <c r="J57" s="168">
        <v>1000</v>
      </c>
      <c r="K57" s="168">
        <v>7750</v>
      </c>
      <c r="L57" s="168">
        <v>10500</v>
      </c>
      <c r="M57" s="168">
        <v>62725</v>
      </c>
      <c r="N57" s="168">
        <v>62725</v>
      </c>
      <c r="O57" s="168">
        <v>62725</v>
      </c>
      <c r="Q57" s="168"/>
      <c r="R57" s="168"/>
      <c r="T57" s="168"/>
      <c r="AH57" s="170"/>
    </row>
    <row r="58" spans="1:34" ht="9.9499999999999993" customHeight="1" x14ac:dyDescent="0.15">
      <c r="A58" s="165" t="s">
        <v>376</v>
      </c>
      <c r="B58" s="171" t="s">
        <v>309</v>
      </c>
      <c r="C58" s="167">
        <f t="shared" si="0"/>
        <v>73330.67</v>
      </c>
      <c r="D58" s="168">
        <v>4788.28</v>
      </c>
      <c r="E58" s="168">
        <v>5113.93</v>
      </c>
      <c r="F58" s="168">
        <v>5308.21</v>
      </c>
      <c r="G58" s="168">
        <v>5563.02</v>
      </c>
      <c r="H58" s="168">
        <v>4918.0600000000004</v>
      </c>
      <c r="I58" s="168">
        <v>4501.8599999999997</v>
      </c>
      <c r="J58" s="168">
        <v>3603.8</v>
      </c>
      <c r="K58" s="168">
        <v>3403.64</v>
      </c>
      <c r="L58" s="168">
        <v>0</v>
      </c>
      <c r="M58" s="168">
        <v>12043.289999999999</v>
      </c>
      <c r="N58" s="168">
        <v>12043.289999999999</v>
      </c>
      <c r="O58" s="168">
        <v>12043.289999999999</v>
      </c>
      <c r="Q58" s="168"/>
      <c r="R58" s="168"/>
      <c r="AH58" s="170"/>
    </row>
    <row r="59" spans="1:34" ht="9.9499999999999993" customHeight="1" x14ac:dyDescent="0.15">
      <c r="A59" s="165" t="s">
        <v>377</v>
      </c>
      <c r="B59" s="166" t="s">
        <v>310</v>
      </c>
      <c r="C59" s="167">
        <f t="shared" si="0"/>
        <v>73330.67</v>
      </c>
      <c r="D59" s="168">
        <v>4788.28</v>
      </c>
      <c r="E59" s="168">
        <v>5113.93</v>
      </c>
      <c r="F59" s="168">
        <v>5308.21</v>
      </c>
      <c r="G59" s="168">
        <v>5563.02</v>
      </c>
      <c r="H59" s="168">
        <v>4918.0600000000004</v>
      </c>
      <c r="I59" s="168">
        <v>4501.8599999999997</v>
      </c>
      <c r="J59" s="168">
        <v>3603.8</v>
      </c>
      <c r="K59" s="168">
        <v>3403.64</v>
      </c>
      <c r="L59" s="168">
        <v>0</v>
      </c>
      <c r="M59" s="168">
        <v>12043.289999999999</v>
      </c>
      <c r="N59" s="168">
        <v>12043.289999999999</v>
      </c>
      <c r="O59" s="168">
        <v>12043.289999999999</v>
      </c>
      <c r="Q59" s="168"/>
      <c r="R59" s="168"/>
      <c r="T59" s="168"/>
      <c r="AH59" s="170"/>
    </row>
    <row r="60" spans="1:34" ht="9.9499999999999993" customHeight="1" x14ac:dyDescent="0.15">
      <c r="A60" s="165">
        <v>62</v>
      </c>
      <c r="B60" s="166" t="s">
        <v>184</v>
      </c>
      <c r="C60" s="167">
        <f t="shared" si="0"/>
        <v>429396.49</v>
      </c>
      <c r="D60" s="168">
        <v>17415</v>
      </c>
      <c r="E60" s="168">
        <v>130952.9</v>
      </c>
      <c r="F60" s="168">
        <v>114383</v>
      </c>
      <c r="G60" s="168">
        <v>61276.59</v>
      </c>
      <c r="H60" s="168">
        <v>0</v>
      </c>
      <c r="I60" s="168">
        <v>0</v>
      </c>
      <c r="J60" s="168">
        <v>0</v>
      </c>
      <c r="K60" s="168">
        <v>0</v>
      </c>
      <c r="L60" s="168">
        <v>0</v>
      </c>
      <c r="M60" s="168">
        <v>35123</v>
      </c>
      <c r="N60" s="168">
        <v>35123</v>
      </c>
      <c r="O60" s="168">
        <v>35123</v>
      </c>
      <c r="Q60" s="168"/>
      <c r="R60" s="168"/>
      <c r="T60" s="168"/>
      <c r="AH60" s="170"/>
    </row>
    <row r="61" spans="1:34" ht="9.9499999999999993" customHeight="1" x14ac:dyDescent="0.15">
      <c r="A61" s="165" t="s">
        <v>378</v>
      </c>
      <c r="B61" s="171" t="s">
        <v>184</v>
      </c>
      <c r="C61" s="167">
        <f t="shared" si="0"/>
        <v>429396.49</v>
      </c>
      <c r="D61" s="168">
        <v>17415</v>
      </c>
      <c r="E61" s="168">
        <v>130952.9</v>
      </c>
      <c r="F61" s="168">
        <v>114383</v>
      </c>
      <c r="G61" s="168">
        <v>61276.59</v>
      </c>
      <c r="H61" s="168">
        <v>0</v>
      </c>
      <c r="I61" s="168">
        <v>0</v>
      </c>
      <c r="J61" s="168">
        <v>0</v>
      </c>
      <c r="K61" s="168">
        <v>0</v>
      </c>
      <c r="L61" s="168">
        <v>0</v>
      </c>
      <c r="M61" s="168">
        <v>35123</v>
      </c>
      <c r="N61" s="168">
        <v>35123</v>
      </c>
      <c r="O61" s="168">
        <v>35123</v>
      </c>
      <c r="Q61" s="168"/>
      <c r="R61" s="168"/>
      <c r="T61" s="168"/>
      <c r="AH61" s="170"/>
    </row>
    <row r="62" spans="1:34" ht="9.9499999999999993" customHeight="1" x14ac:dyDescent="0.15">
      <c r="A62" s="165" t="s">
        <v>379</v>
      </c>
      <c r="B62" s="166" t="s">
        <v>311</v>
      </c>
      <c r="C62" s="167">
        <f t="shared" si="0"/>
        <v>356436.9</v>
      </c>
      <c r="D62" s="168">
        <v>17415</v>
      </c>
      <c r="E62" s="168">
        <v>130952.9</v>
      </c>
      <c r="F62" s="168">
        <v>108183</v>
      </c>
      <c r="G62" s="168">
        <v>57550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14112</v>
      </c>
      <c r="N62" s="168">
        <v>14112</v>
      </c>
      <c r="O62" s="168">
        <v>14112</v>
      </c>
      <c r="Q62" s="168"/>
      <c r="R62" s="168"/>
      <c r="AH62" s="170"/>
    </row>
    <row r="63" spans="1:34" ht="9.9499999999999993" customHeight="1" x14ac:dyDescent="0.15">
      <c r="A63" s="165" t="s">
        <v>380</v>
      </c>
      <c r="B63" s="166" t="s">
        <v>312</v>
      </c>
      <c r="C63" s="167">
        <f t="shared" si="0"/>
        <v>26276.59</v>
      </c>
      <c r="D63" s="168">
        <v>0</v>
      </c>
      <c r="E63" s="168">
        <v>0</v>
      </c>
      <c r="F63" s="168">
        <v>6200</v>
      </c>
      <c r="G63" s="168">
        <v>3726.59</v>
      </c>
      <c r="H63" s="168">
        <v>0</v>
      </c>
      <c r="I63" s="168">
        <v>0</v>
      </c>
      <c r="J63" s="168">
        <v>0</v>
      </c>
      <c r="K63" s="168">
        <v>0</v>
      </c>
      <c r="L63" s="168">
        <v>0</v>
      </c>
      <c r="M63" s="168">
        <v>5450</v>
      </c>
      <c r="N63" s="168">
        <v>5450</v>
      </c>
      <c r="O63" s="168">
        <v>5450</v>
      </c>
      <c r="Q63" s="168"/>
      <c r="R63" s="168"/>
      <c r="T63" s="168"/>
      <c r="AH63" s="170"/>
    </row>
    <row r="64" spans="1:34" ht="9.9499999999999993" customHeight="1" x14ac:dyDescent="0.15">
      <c r="A64" s="165">
        <v>81</v>
      </c>
      <c r="B64" s="166" t="s">
        <v>90</v>
      </c>
      <c r="C64" s="167">
        <f t="shared" si="0"/>
        <v>82731040.039999992</v>
      </c>
      <c r="D64" s="168">
        <v>8018953.21</v>
      </c>
      <c r="E64" s="168">
        <v>12077643.1</v>
      </c>
      <c r="F64" s="168">
        <v>4713863.5599999996</v>
      </c>
      <c r="G64" s="168">
        <v>5458380.1900000004</v>
      </c>
      <c r="H64" s="168">
        <v>7342445.3499999996</v>
      </c>
      <c r="I64" s="168">
        <v>14219716.210000001</v>
      </c>
      <c r="J64" s="168">
        <v>7955434.0099999998</v>
      </c>
      <c r="K64" s="168">
        <v>6867721.1200000001</v>
      </c>
      <c r="L64" s="168">
        <v>0</v>
      </c>
      <c r="M64" s="168">
        <v>5358961.0966666667</v>
      </c>
      <c r="N64" s="168">
        <v>5358961.0966666667</v>
      </c>
      <c r="O64" s="168">
        <v>5358961.0966666667</v>
      </c>
      <c r="Q64" s="168"/>
      <c r="R64" s="168"/>
      <c r="T64" s="168"/>
      <c r="AH64" s="170"/>
    </row>
    <row r="65" spans="1:34" ht="9.9499999999999993" customHeight="1" x14ac:dyDescent="0.15">
      <c r="A65" s="165" t="s">
        <v>381</v>
      </c>
      <c r="B65" s="171" t="s">
        <v>245</v>
      </c>
      <c r="C65" s="167">
        <f t="shared" si="0"/>
        <v>78306335.600000009</v>
      </c>
      <c r="D65" s="168">
        <v>7596846.3899999997</v>
      </c>
      <c r="E65" s="168">
        <v>11411088.02</v>
      </c>
      <c r="F65" s="168">
        <v>4301783.24</v>
      </c>
      <c r="G65" s="168">
        <v>5083760.0199999996</v>
      </c>
      <c r="H65" s="168">
        <v>6926907.4000000004</v>
      </c>
      <c r="I65" s="168">
        <v>13854913.189999999</v>
      </c>
      <c r="J65" s="168">
        <v>7516531.7400000002</v>
      </c>
      <c r="K65" s="168">
        <v>6466276.5499999998</v>
      </c>
      <c r="L65" s="168">
        <v>0</v>
      </c>
      <c r="M65" s="168">
        <v>5049409.6833333336</v>
      </c>
      <c r="N65" s="168">
        <v>5049409.6833333336</v>
      </c>
      <c r="O65" s="168">
        <v>5049409.6833333336</v>
      </c>
      <c r="Q65" s="168"/>
      <c r="R65" s="168"/>
      <c r="T65" s="168"/>
      <c r="AH65" s="170"/>
    </row>
    <row r="66" spans="1:34" ht="9.9499999999999993" customHeight="1" x14ac:dyDescent="0.15">
      <c r="A66" s="165" t="s">
        <v>382</v>
      </c>
      <c r="B66" s="166" t="s">
        <v>313</v>
      </c>
      <c r="C66" s="167">
        <f t="shared" si="0"/>
        <v>42197418.059999987</v>
      </c>
      <c r="D66" s="168">
        <v>3969475.7</v>
      </c>
      <c r="E66" s="168">
        <v>6679524.79</v>
      </c>
      <c r="F66" s="168">
        <v>2227980.5299999998</v>
      </c>
      <c r="G66" s="168">
        <v>3895827.12</v>
      </c>
      <c r="H66" s="168">
        <v>189843</v>
      </c>
      <c r="I66" s="168">
        <v>10886222.48</v>
      </c>
      <c r="J66" s="168">
        <v>3250229.65</v>
      </c>
      <c r="K66" s="168">
        <v>3655361.82</v>
      </c>
      <c r="L66" s="168">
        <v>0</v>
      </c>
      <c r="M66" s="168">
        <v>2480984.3233333337</v>
      </c>
      <c r="N66" s="168">
        <v>2480984.3233333337</v>
      </c>
      <c r="O66" s="168">
        <v>2480984.3233333337</v>
      </c>
      <c r="Q66" s="168"/>
      <c r="R66" s="168"/>
      <c r="AH66" s="170"/>
    </row>
    <row r="67" spans="1:34" ht="9.9499999999999993" customHeight="1" x14ac:dyDescent="0.15">
      <c r="A67" s="165" t="s">
        <v>383</v>
      </c>
      <c r="B67" s="166" t="s">
        <v>314</v>
      </c>
      <c r="C67" s="167">
        <f t="shared" si="0"/>
        <v>23587803.190000005</v>
      </c>
      <c r="D67" s="168">
        <v>2396640.2999999998</v>
      </c>
      <c r="E67" s="168">
        <v>3821292.18</v>
      </c>
      <c r="F67" s="168">
        <v>1426804.22</v>
      </c>
      <c r="G67" s="168">
        <v>0</v>
      </c>
      <c r="H67" s="168">
        <v>6030068.04</v>
      </c>
      <c r="I67" s="168">
        <v>1707684.9</v>
      </c>
      <c r="J67" s="168">
        <v>1765667.25</v>
      </c>
      <c r="K67" s="168">
        <v>1969629.1</v>
      </c>
      <c r="L67" s="168">
        <v>0</v>
      </c>
      <c r="M67" s="168">
        <v>1490005.7333333334</v>
      </c>
      <c r="N67" s="168">
        <v>1490005.7333333334</v>
      </c>
      <c r="O67" s="168">
        <v>1490005.7333333334</v>
      </c>
      <c r="Q67" s="168"/>
      <c r="R67" s="168"/>
      <c r="T67" s="168"/>
      <c r="AH67" s="170"/>
    </row>
    <row r="68" spans="1:34" ht="9.9499999999999993" customHeight="1" x14ac:dyDescent="0.15">
      <c r="A68" s="165" t="s">
        <v>384</v>
      </c>
      <c r="B68" s="166" t="s">
        <v>315</v>
      </c>
      <c r="C68" s="167">
        <f t="shared" si="0"/>
        <v>3415582.2399999993</v>
      </c>
      <c r="D68" s="168">
        <v>460400.78</v>
      </c>
      <c r="E68" s="168">
        <v>1986.92</v>
      </c>
      <c r="F68" s="168">
        <v>0</v>
      </c>
      <c r="G68" s="168">
        <v>669897.30000000005</v>
      </c>
      <c r="H68" s="168">
        <v>42303.5</v>
      </c>
      <c r="I68" s="168">
        <v>0</v>
      </c>
      <c r="J68" s="168">
        <v>1486775.25</v>
      </c>
      <c r="K68" s="168">
        <v>0</v>
      </c>
      <c r="L68" s="168">
        <v>0</v>
      </c>
      <c r="M68" s="168">
        <v>251406.16333333333</v>
      </c>
      <c r="N68" s="168">
        <v>251406.16333333333</v>
      </c>
      <c r="O68" s="168">
        <v>251406.16333333333</v>
      </c>
      <c r="Q68" s="168"/>
      <c r="R68" s="168"/>
      <c r="T68" s="168"/>
      <c r="AH68" s="170"/>
    </row>
    <row r="69" spans="1:34" ht="9.9499999999999993" customHeight="1" x14ac:dyDescent="0.15">
      <c r="A69" s="165" t="s">
        <v>385</v>
      </c>
      <c r="B69" s="166" t="s">
        <v>316</v>
      </c>
      <c r="C69" s="167">
        <f t="shared" si="0"/>
        <v>2265598.5400000005</v>
      </c>
      <c r="D69" s="168">
        <v>295109.31</v>
      </c>
      <c r="E69" s="168">
        <v>279951</v>
      </c>
      <c r="F69" s="168">
        <v>291919.65999999997</v>
      </c>
      <c r="G69" s="168">
        <v>220971.02</v>
      </c>
      <c r="H69" s="168">
        <v>269262.23</v>
      </c>
      <c r="I69" s="168">
        <v>283083.42</v>
      </c>
      <c r="J69" s="168">
        <v>272968.82</v>
      </c>
      <c r="K69" s="168">
        <v>199245.83</v>
      </c>
      <c r="L69" s="168">
        <v>0</v>
      </c>
      <c r="M69" s="168">
        <v>51029.083333333336</v>
      </c>
      <c r="N69" s="168">
        <v>51029.083333333336</v>
      </c>
      <c r="O69" s="168">
        <v>51029.083333333336</v>
      </c>
      <c r="Q69" s="168"/>
      <c r="R69" s="168"/>
      <c r="T69" s="168"/>
    </row>
    <row r="70" spans="1:34" ht="9.9499999999999993" customHeight="1" x14ac:dyDescent="0.15">
      <c r="A70" s="165" t="s">
        <v>386</v>
      </c>
      <c r="B70" s="166" t="s">
        <v>317</v>
      </c>
      <c r="C70" s="167">
        <f t="shared" si="0"/>
        <v>1895804.3300000003</v>
      </c>
      <c r="D70" s="168">
        <v>47628.98</v>
      </c>
      <c r="E70" s="168">
        <v>322637.5</v>
      </c>
      <c r="F70" s="168">
        <v>49991.41</v>
      </c>
      <c r="G70" s="168">
        <v>0</v>
      </c>
      <c r="H70" s="168">
        <v>0</v>
      </c>
      <c r="I70" s="168">
        <v>424089.52</v>
      </c>
      <c r="J70" s="168">
        <v>106940.5</v>
      </c>
      <c r="K70" s="168">
        <v>101447.06</v>
      </c>
      <c r="L70" s="168">
        <v>0</v>
      </c>
      <c r="M70" s="168">
        <v>281023.12000000005</v>
      </c>
      <c r="N70" s="168">
        <v>281023.12000000005</v>
      </c>
      <c r="O70" s="168">
        <v>281023.12000000005</v>
      </c>
      <c r="Q70" s="168"/>
      <c r="R70" s="168"/>
    </row>
    <row r="71" spans="1:34" ht="9.9499999999999993" customHeight="1" x14ac:dyDescent="0.15">
      <c r="A71" s="165" t="s">
        <v>387</v>
      </c>
      <c r="B71" s="166" t="s">
        <v>318</v>
      </c>
      <c r="C71" s="167">
        <f t="shared" si="0"/>
        <v>3159573.4699999997</v>
      </c>
      <c r="D71" s="168">
        <v>260220.28</v>
      </c>
      <c r="E71" s="168">
        <v>250762.16</v>
      </c>
      <c r="F71" s="168">
        <v>248951.49</v>
      </c>
      <c r="G71" s="168">
        <v>246970.05</v>
      </c>
      <c r="H71" s="168">
        <v>395430.63</v>
      </c>
      <c r="I71" s="168">
        <v>357388.35</v>
      </c>
      <c r="J71" s="168">
        <v>583173.93000000005</v>
      </c>
      <c r="K71" s="168">
        <v>488145.8</v>
      </c>
      <c r="L71" s="168">
        <v>0</v>
      </c>
      <c r="M71" s="168">
        <v>109510.26000000001</v>
      </c>
      <c r="N71" s="168">
        <v>109510.26000000001</v>
      </c>
      <c r="O71" s="168">
        <v>109510.26000000001</v>
      </c>
      <c r="Q71" s="168"/>
      <c r="R71" s="168"/>
      <c r="T71" s="168"/>
    </row>
    <row r="72" spans="1:34" ht="9.9499999999999993" customHeight="1" x14ac:dyDescent="0.15">
      <c r="A72" s="165" t="s">
        <v>388</v>
      </c>
      <c r="B72" s="166" t="s">
        <v>319</v>
      </c>
      <c r="C72" s="167">
        <f t="shared" ref="C72:C87" si="1">SUM(D72:O72)</f>
        <v>1784555.77</v>
      </c>
      <c r="D72" s="168">
        <v>167371.04</v>
      </c>
      <c r="E72" s="168">
        <v>54933.47</v>
      </c>
      <c r="F72" s="168">
        <v>56135.93</v>
      </c>
      <c r="G72" s="168">
        <v>50094.53</v>
      </c>
      <c r="H72" s="168">
        <v>0</v>
      </c>
      <c r="I72" s="168">
        <v>196444.52</v>
      </c>
      <c r="J72" s="168">
        <v>50776.34</v>
      </c>
      <c r="K72" s="168">
        <v>52446.94</v>
      </c>
      <c r="L72" s="168">
        <v>0</v>
      </c>
      <c r="M72" s="168">
        <v>385451</v>
      </c>
      <c r="N72" s="168">
        <v>385451</v>
      </c>
      <c r="O72" s="168">
        <v>385451</v>
      </c>
      <c r="Q72" s="168"/>
      <c r="R72" s="168"/>
      <c r="T72" s="168"/>
    </row>
    <row r="73" spans="1:34" ht="9.9499999999999993" customHeight="1" x14ac:dyDescent="0.15">
      <c r="A73" s="165" t="s">
        <v>389</v>
      </c>
      <c r="B73" s="171" t="s">
        <v>254</v>
      </c>
      <c r="C73" s="167">
        <f t="shared" si="1"/>
        <v>4424704.4399999995</v>
      </c>
      <c r="D73" s="168">
        <v>422106.82</v>
      </c>
      <c r="E73" s="168">
        <v>666555.07999999996</v>
      </c>
      <c r="F73" s="168">
        <v>412080.32</v>
      </c>
      <c r="G73" s="168">
        <v>374620.17</v>
      </c>
      <c r="H73" s="168">
        <v>415537.95</v>
      </c>
      <c r="I73" s="168">
        <v>364803.02</v>
      </c>
      <c r="J73" s="168">
        <v>438902.27</v>
      </c>
      <c r="K73" s="168">
        <v>401444.57</v>
      </c>
      <c r="L73" s="168">
        <v>0</v>
      </c>
      <c r="M73" s="168">
        <v>309551.41333333333</v>
      </c>
      <c r="N73" s="168">
        <v>309551.41333333333</v>
      </c>
      <c r="O73" s="168">
        <v>309551.41333333333</v>
      </c>
      <c r="Q73" s="168"/>
      <c r="R73" s="168"/>
      <c r="T73" s="168"/>
    </row>
    <row r="74" spans="1:34" ht="9.9499999999999993" customHeight="1" x14ac:dyDescent="0.15">
      <c r="A74" s="165" t="s">
        <v>390</v>
      </c>
      <c r="B74" s="166" t="s">
        <v>320</v>
      </c>
      <c r="C74" s="167">
        <f t="shared" si="1"/>
        <v>246092.08</v>
      </c>
      <c r="D74" s="168">
        <v>9149.86</v>
      </c>
      <c r="E74" s="168">
        <v>106330.51</v>
      </c>
      <c r="F74" s="168">
        <v>51331.9</v>
      </c>
      <c r="G74" s="168">
        <v>20389.45</v>
      </c>
      <c r="H74" s="168">
        <v>13158.68</v>
      </c>
      <c r="I74" s="168">
        <v>11334.71</v>
      </c>
      <c r="J74" s="168">
        <v>6579.34</v>
      </c>
      <c r="K74" s="168">
        <v>8273.0300000000007</v>
      </c>
      <c r="L74" s="168">
        <v>0</v>
      </c>
      <c r="M74" s="168">
        <v>6514.8666666666659</v>
      </c>
      <c r="N74" s="168">
        <v>6514.8666666666659</v>
      </c>
      <c r="O74" s="168">
        <v>6514.8666666666659</v>
      </c>
      <c r="Q74" s="168"/>
      <c r="R74" s="168"/>
    </row>
    <row r="75" spans="1:34" ht="9.9499999999999993" customHeight="1" x14ac:dyDescent="0.15">
      <c r="A75" s="165" t="s">
        <v>391</v>
      </c>
      <c r="B75" s="166" t="s">
        <v>321</v>
      </c>
      <c r="C75" s="167">
        <f t="shared" si="1"/>
        <v>4188986.3600000008</v>
      </c>
      <c r="D75" s="168">
        <v>412956.96</v>
      </c>
      <c r="E75" s="168">
        <v>560224.56999999995</v>
      </c>
      <c r="F75" s="168">
        <v>360748.42</v>
      </c>
      <c r="G75" s="168">
        <v>354230.72</v>
      </c>
      <c r="H75" s="168">
        <v>402379.27</v>
      </c>
      <c r="I75" s="168">
        <v>353468.31</v>
      </c>
      <c r="J75" s="168">
        <v>432322.93</v>
      </c>
      <c r="K75" s="168">
        <v>393171.54</v>
      </c>
      <c r="L75" s="168">
        <v>0</v>
      </c>
      <c r="M75" s="168">
        <v>306494.54666666669</v>
      </c>
      <c r="N75" s="168">
        <v>306494.54666666669</v>
      </c>
      <c r="O75" s="168">
        <v>306494.54666666669</v>
      </c>
      <c r="Q75" s="168"/>
      <c r="R75" s="168"/>
      <c r="T75" s="168"/>
    </row>
    <row r="76" spans="1:34" ht="9.9499999999999993" customHeight="1" x14ac:dyDescent="0.15">
      <c r="A76" s="165">
        <v>82</v>
      </c>
      <c r="B76" s="166" t="s">
        <v>322</v>
      </c>
      <c r="C76" s="167">
        <f t="shared" si="1"/>
        <v>264355675.66999996</v>
      </c>
      <c r="D76" s="168">
        <f>26546492.85-4344963.76</f>
        <v>22201529.090000004</v>
      </c>
      <c r="E76" s="168">
        <v>29817240.710000001</v>
      </c>
      <c r="F76" s="168">
        <v>19691349.27</v>
      </c>
      <c r="G76" s="168">
        <v>34416451.420000002</v>
      </c>
      <c r="H76" s="168">
        <v>8729356.4900000002</v>
      </c>
      <c r="I76" s="168">
        <v>31200138.399999999</v>
      </c>
      <c r="J76" s="168">
        <v>21116049.699999999</v>
      </c>
      <c r="K76" s="168">
        <v>20532481.879999999</v>
      </c>
      <c r="L76" s="168">
        <v>0</v>
      </c>
      <c r="M76" s="168">
        <v>25550359.570000004</v>
      </c>
      <c r="N76" s="168">
        <v>25550359.570000004</v>
      </c>
      <c r="O76" s="168">
        <v>25550359.570000004</v>
      </c>
      <c r="Q76" s="168"/>
      <c r="R76" s="168"/>
      <c r="T76" s="168"/>
    </row>
    <row r="77" spans="1:34" ht="9.9499999999999993" customHeight="1" x14ac:dyDescent="0.15">
      <c r="A77" s="165" t="s">
        <v>392</v>
      </c>
      <c r="B77" s="171" t="s">
        <v>258</v>
      </c>
      <c r="C77" s="167">
        <f t="shared" si="1"/>
        <v>144978908.35000002</v>
      </c>
      <c r="D77" s="168">
        <f>13972172.93</f>
        <v>13972172.93</v>
      </c>
      <c r="E77" s="168">
        <v>14401533.24</v>
      </c>
      <c r="F77" s="168">
        <v>12645688.119999999</v>
      </c>
      <c r="G77" s="168">
        <v>11892980.57</v>
      </c>
      <c r="H77" s="168">
        <v>5894002.8099999996</v>
      </c>
      <c r="I77" s="168">
        <v>23575425.940000001</v>
      </c>
      <c r="J77" s="168">
        <v>13605462.289999999</v>
      </c>
      <c r="K77" s="168">
        <v>13349223.060000001</v>
      </c>
      <c r="L77" s="168">
        <v>0</v>
      </c>
      <c r="M77" s="168">
        <v>11880806.463333333</v>
      </c>
      <c r="N77" s="168">
        <v>11880806.463333333</v>
      </c>
      <c r="O77" s="168">
        <v>11880806.463333333</v>
      </c>
      <c r="Q77" s="168"/>
      <c r="R77" s="168"/>
      <c r="T77" s="168"/>
    </row>
    <row r="78" spans="1:34" ht="9.9499999999999993" customHeight="1" x14ac:dyDescent="0.15">
      <c r="A78" s="165" t="s">
        <v>393</v>
      </c>
      <c r="B78" s="166" t="s">
        <v>323</v>
      </c>
      <c r="C78" s="167">
        <f>SUM(D78:O78)</f>
        <v>730.41</v>
      </c>
      <c r="D78" s="168">
        <v>0</v>
      </c>
      <c r="E78" s="168">
        <v>0</v>
      </c>
      <c r="F78" s="168">
        <v>0</v>
      </c>
      <c r="G78" s="168">
        <v>0</v>
      </c>
      <c r="H78" s="168">
        <v>0</v>
      </c>
      <c r="I78" s="168">
        <v>0</v>
      </c>
      <c r="J78" s="168">
        <v>0</v>
      </c>
      <c r="K78" s="168">
        <v>0</v>
      </c>
      <c r="L78" s="168">
        <v>0</v>
      </c>
      <c r="M78" s="168">
        <v>243.47</v>
      </c>
      <c r="N78" s="168">
        <v>243.47</v>
      </c>
      <c r="O78" s="168">
        <v>243.47</v>
      </c>
      <c r="Q78" s="168"/>
      <c r="R78" s="168"/>
    </row>
    <row r="79" spans="1:34" ht="9.9499999999999993" customHeight="1" x14ac:dyDescent="0.15">
      <c r="A79" s="165" t="s">
        <v>394</v>
      </c>
      <c r="B79" s="166" t="s">
        <v>324</v>
      </c>
      <c r="C79" s="167">
        <f t="shared" si="1"/>
        <v>13724708.899999997</v>
      </c>
      <c r="D79" s="168">
        <v>1557405.7</v>
      </c>
      <c r="E79" s="168">
        <v>1557405.7</v>
      </c>
      <c r="F79" s="168">
        <v>1557405.7</v>
      </c>
      <c r="G79" s="168">
        <v>0</v>
      </c>
      <c r="H79" s="168">
        <v>1557405.7</v>
      </c>
      <c r="I79" s="168">
        <v>3114811.4</v>
      </c>
      <c r="J79" s="168">
        <v>1557405.7</v>
      </c>
      <c r="K79" s="168">
        <v>1557405.7</v>
      </c>
      <c r="L79" s="168">
        <v>0</v>
      </c>
      <c r="M79" s="168">
        <v>421821.10000000003</v>
      </c>
      <c r="N79" s="168">
        <v>421821.10000000003</v>
      </c>
      <c r="O79" s="168">
        <v>421821.10000000003</v>
      </c>
      <c r="Q79" s="168"/>
      <c r="R79" s="168"/>
      <c r="T79" s="168"/>
    </row>
    <row r="80" spans="1:34" ht="9.9499999999999993" customHeight="1" x14ac:dyDescent="0.15">
      <c r="A80" s="165" t="s">
        <v>395</v>
      </c>
      <c r="B80" s="166" t="s">
        <v>325</v>
      </c>
      <c r="C80" s="167">
        <f t="shared" si="1"/>
        <v>89476512.109999999</v>
      </c>
      <c r="D80" s="168">
        <v>8215315.4199999999</v>
      </c>
      <c r="E80" s="168">
        <v>8215315.4199999999</v>
      </c>
      <c r="F80" s="168">
        <v>8215315.4199999999</v>
      </c>
      <c r="G80" s="168">
        <v>8215315.4199999999</v>
      </c>
      <c r="H80" s="168">
        <v>0</v>
      </c>
      <c r="I80" s="168">
        <v>16430630.84</v>
      </c>
      <c r="J80" s="168">
        <v>8215315.4199999999</v>
      </c>
      <c r="K80" s="168">
        <v>8215315.4199999999</v>
      </c>
      <c r="L80" s="168">
        <v>0</v>
      </c>
      <c r="M80" s="168">
        <v>7917996.25</v>
      </c>
      <c r="N80" s="168">
        <v>7917996.25</v>
      </c>
      <c r="O80" s="168">
        <v>7917996.25</v>
      </c>
      <c r="Q80" s="168"/>
      <c r="R80" s="168"/>
      <c r="T80" s="168"/>
    </row>
    <row r="81" spans="1:33" ht="9.9499999999999993" customHeight="1" x14ac:dyDescent="0.15">
      <c r="A81" s="165" t="s">
        <v>396</v>
      </c>
      <c r="B81" s="166" t="s">
        <v>326</v>
      </c>
      <c r="C81" s="167">
        <f t="shared" si="1"/>
        <v>41776956.93</v>
      </c>
      <c r="D81" s="168">
        <v>4199451.8099999996</v>
      </c>
      <c r="E81" s="168">
        <v>4628812.12</v>
      </c>
      <c r="F81" s="168">
        <v>2872967</v>
      </c>
      <c r="G81" s="168">
        <v>3677665.15</v>
      </c>
      <c r="H81" s="168">
        <v>4336597.1100000003</v>
      </c>
      <c r="I81" s="168">
        <v>4029983.7</v>
      </c>
      <c r="J81" s="168">
        <v>3832741.17</v>
      </c>
      <c r="K81" s="168">
        <v>3576501.94</v>
      </c>
      <c r="L81" s="168">
        <v>0</v>
      </c>
      <c r="M81" s="168">
        <v>3540745.6433333331</v>
      </c>
      <c r="N81" s="168">
        <v>3540745.6433333331</v>
      </c>
      <c r="O81" s="168">
        <v>3540745.6433333331</v>
      </c>
      <c r="Q81" s="168"/>
      <c r="R81" s="168"/>
      <c r="T81" s="168"/>
    </row>
    <row r="82" spans="1:33" ht="9.9499999999999993" customHeight="1" x14ac:dyDescent="0.15">
      <c r="A82" s="165" t="s">
        <v>397</v>
      </c>
      <c r="B82" s="171" t="s">
        <v>327</v>
      </c>
      <c r="C82" s="167">
        <f t="shared" si="1"/>
        <v>123721731.08</v>
      </c>
      <c r="D82" s="168">
        <v>12574319.92</v>
      </c>
      <c r="E82" s="168">
        <v>15415707.470000001</v>
      </c>
      <c r="F82" s="168">
        <v>7045661.1500000004</v>
      </c>
      <c r="G82" s="168">
        <v>22523470.850000001</v>
      </c>
      <c r="H82" s="168">
        <v>2835353.68</v>
      </c>
      <c r="I82" s="168">
        <v>7624712.46</v>
      </c>
      <c r="J82" s="168">
        <v>7510587.4100000001</v>
      </c>
      <c r="K82" s="168">
        <v>7183258.8200000003</v>
      </c>
      <c r="L82" s="168">
        <v>0</v>
      </c>
      <c r="M82" s="168">
        <v>13669553.106666667</v>
      </c>
      <c r="N82" s="168">
        <v>13669553.106666667</v>
      </c>
      <c r="O82" s="168">
        <v>13669553.106666667</v>
      </c>
      <c r="Q82" s="168"/>
      <c r="R82" s="168"/>
    </row>
    <row r="83" spans="1:33" ht="9.9499999999999993" customHeight="1" x14ac:dyDescent="0.15">
      <c r="A83" s="165" t="s">
        <v>398</v>
      </c>
      <c r="B83" s="166" t="s">
        <v>328</v>
      </c>
      <c r="C83" s="167">
        <f t="shared" si="1"/>
        <v>14079466.120000003</v>
      </c>
      <c r="D83" s="168">
        <v>1339374.3999999999</v>
      </c>
      <c r="E83" s="168">
        <v>1628013.13</v>
      </c>
      <c r="F83" s="168">
        <v>1173188.49</v>
      </c>
      <c r="G83" s="168">
        <v>1315307.51</v>
      </c>
      <c r="H83" s="168">
        <v>1532777.66</v>
      </c>
      <c r="I83" s="168">
        <v>1419298.54</v>
      </c>
      <c r="J83" s="168">
        <v>1357573.66</v>
      </c>
      <c r="K83" s="168">
        <v>1181900.57</v>
      </c>
      <c r="L83" s="168">
        <v>0</v>
      </c>
      <c r="M83" s="168">
        <v>1044010.7200000001</v>
      </c>
      <c r="N83" s="168">
        <v>1044010.7200000001</v>
      </c>
      <c r="O83" s="168">
        <v>1044010.7200000001</v>
      </c>
      <c r="Q83" s="168"/>
      <c r="R83" s="168"/>
      <c r="T83" s="168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4"/>
    </row>
    <row r="84" spans="1:33" ht="9.9499999999999993" customHeight="1" x14ac:dyDescent="0.15">
      <c r="A84" s="165" t="s">
        <v>399</v>
      </c>
      <c r="B84" s="166" t="s">
        <v>329</v>
      </c>
      <c r="C84" s="167">
        <f t="shared" si="1"/>
        <v>11968273.900000002</v>
      </c>
      <c r="D84" s="168">
        <v>1202736.76</v>
      </c>
      <c r="E84" s="168">
        <v>1389417.15</v>
      </c>
      <c r="F84" s="168">
        <v>873469.46</v>
      </c>
      <c r="G84" s="168">
        <v>1122540.5900000001</v>
      </c>
      <c r="H84" s="168">
        <v>1302576.02</v>
      </c>
      <c r="I84" s="168">
        <v>1206139.8600000001</v>
      </c>
      <c r="J84" s="168">
        <v>1153685.18</v>
      </c>
      <c r="K84" s="168">
        <v>1004395.72</v>
      </c>
      <c r="L84" s="168">
        <v>0</v>
      </c>
      <c r="M84" s="168">
        <v>904437.72000000009</v>
      </c>
      <c r="N84" s="168">
        <v>904437.72000000009</v>
      </c>
      <c r="O84" s="168">
        <v>904437.72000000009</v>
      </c>
      <c r="Q84" s="168"/>
      <c r="R84" s="168"/>
      <c r="T84" s="168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4"/>
    </row>
    <row r="85" spans="1:33" ht="9.9499999999999993" customHeight="1" x14ac:dyDescent="0.15">
      <c r="A85" s="165" t="s">
        <v>400</v>
      </c>
      <c r="B85" s="166" t="s">
        <v>330</v>
      </c>
      <c r="C85" s="167">
        <f t="shared" si="1"/>
        <v>521922</v>
      </c>
      <c r="D85" s="168">
        <v>0</v>
      </c>
      <c r="E85" s="168">
        <v>0</v>
      </c>
      <c r="F85" s="168">
        <v>0</v>
      </c>
      <c r="G85" s="168">
        <v>521922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>
        <v>0</v>
      </c>
      <c r="O85" s="168">
        <v>0</v>
      </c>
      <c r="Q85" s="168"/>
      <c r="R85" s="168"/>
      <c r="T85" s="168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4"/>
    </row>
    <row r="86" spans="1:33" ht="9.9499999999999993" customHeight="1" x14ac:dyDescent="0.15">
      <c r="A86" s="165" t="s">
        <v>401</v>
      </c>
      <c r="B86" s="166" t="s">
        <v>331</v>
      </c>
      <c r="C86" s="167">
        <f>SUM(D86:O86)</f>
        <v>92807105.300000012</v>
      </c>
      <c r="D86" s="168">
        <f>10032208.76-4344963.76</f>
        <v>5687245</v>
      </c>
      <c r="E86" s="168">
        <v>12398277.189999999</v>
      </c>
      <c r="F86" s="168">
        <v>4999003.2</v>
      </c>
      <c r="G86" s="168">
        <v>19563700.75</v>
      </c>
      <c r="H86" s="168">
        <v>0</v>
      </c>
      <c r="I86" s="168">
        <v>4999274.0599999996</v>
      </c>
      <c r="J86" s="168">
        <v>4999328.57</v>
      </c>
      <c r="K86" s="168">
        <v>4996962.53</v>
      </c>
      <c r="L86" s="168">
        <v>0</v>
      </c>
      <c r="M86" s="168">
        <v>11721104.666666666</v>
      </c>
      <c r="N86" s="168">
        <v>11721104.666666666</v>
      </c>
      <c r="O86" s="168">
        <v>11721104.666666666</v>
      </c>
      <c r="Q86" s="168"/>
      <c r="R86" s="168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4"/>
    </row>
    <row r="87" spans="1:33" ht="9.9499999999999993" customHeight="1" x14ac:dyDescent="0.15">
      <c r="A87" s="165" t="s">
        <v>402</v>
      </c>
      <c r="B87" s="166" t="s">
        <v>332</v>
      </c>
      <c r="C87" s="167">
        <f t="shared" si="1"/>
        <v>0</v>
      </c>
      <c r="D87" s="168">
        <v>0</v>
      </c>
      <c r="E87" s="168">
        <v>0</v>
      </c>
      <c r="F87" s="168">
        <v>0</v>
      </c>
      <c r="G87" s="168">
        <v>0</v>
      </c>
      <c r="H87" s="168">
        <v>0</v>
      </c>
      <c r="I87" s="168">
        <v>0</v>
      </c>
      <c r="J87" s="168">
        <v>0</v>
      </c>
      <c r="K87" s="168">
        <v>0</v>
      </c>
      <c r="L87" s="168">
        <v>0</v>
      </c>
      <c r="M87" s="168">
        <v>0</v>
      </c>
      <c r="N87" s="168">
        <v>0</v>
      </c>
      <c r="O87" s="168">
        <v>0</v>
      </c>
      <c r="Q87" s="168"/>
      <c r="R87" s="168"/>
      <c r="T87" s="168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4"/>
    </row>
    <row r="88" spans="1:33" ht="9.9499999999999993" customHeight="1" x14ac:dyDescent="0.15">
      <c r="B88" s="175" t="s">
        <v>50</v>
      </c>
      <c r="C88" s="176">
        <f>C76+C64+C60+C52+C49+C31+C25+C21+C12+C7</f>
        <v>424483042.44999993</v>
      </c>
      <c r="D88" s="176">
        <f t="shared" ref="D88:O88" si="2">D76+D64+D60+D52+D49+D31+D25+D21+D12+D7</f>
        <v>60021034.13000001</v>
      </c>
      <c r="E88" s="176">
        <f t="shared" si="2"/>
        <v>48754608.420000002</v>
      </c>
      <c r="F88" s="176">
        <f t="shared" si="2"/>
        <v>28036265.510000002</v>
      </c>
      <c r="G88" s="176">
        <f t="shared" si="2"/>
        <v>42974669.119999997</v>
      </c>
      <c r="H88" s="176">
        <f t="shared" si="2"/>
        <v>19627122.460000001</v>
      </c>
      <c r="I88" s="176">
        <f t="shared" si="2"/>
        <v>48607232.880000003</v>
      </c>
      <c r="J88" s="176">
        <f t="shared" si="2"/>
        <v>29857729.470000003</v>
      </c>
      <c r="K88" s="176">
        <f t="shared" si="2"/>
        <v>30112606.100000001</v>
      </c>
      <c r="L88" s="176">
        <f t="shared" si="2"/>
        <v>12533434.58</v>
      </c>
      <c r="M88" s="176">
        <f t="shared" si="2"/>
        <v>34652779.92666667</v>
      </c>
      <c r="N88" s="176">
        <f t="shared" si="2"/>
        <v>34652779.92666667</v>
      </c>
      <c r="O88" s="176">
        <f t="shared" si="2"/>
        <v>34652779.92666667</v>
      </c>
      <c r="P88" s="176"/>
      <c r="Q88" s="177"/>
      <c r="R88" s="177"/>
      <c r="S88" s="169"/>
      <c r="T88" s="168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4"/>
    </row>
    <row r="89" spans="1:33" ht="9.9499999999999993" customHeight="1" x14ac:dyDescent="0.15">
      <c r="A89" s="165"/>
      <c r="B89" s="166"/>
      <c r="D89" s="172"/>
      <c r="E89" s="172"/>
      <c r="F89" s="172"/>
      <c r="G89" s="172"/>
      <c r="H89" s="172"/>
      <c r="I89" s="172"/>
      <c r="J89" s="168"/>
      <c r="K89" s="168"/>
      <c r="L89" s="168"/>
      <c r="M89" s="168"/>
      <c r="N89" s="168"/>
      <c r="O89" s="168"/>
      <c r="Q89" s="168"/>
      <c r="R89" s="168"/>
      <c r="S89" s="169"/>
      <c r="T89" s="168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4"/>
    </row>
    <row r="90" spans="1:33" ht="9.9499999999999993" customHeight="1" x14ac:dyDescent="0.15">
      <c r="A90" s="165"/>
      <c r="B90" s="166"/>
      <c r="C90" s="183"/>
      <c r="D90" s="172"/>
      <c r="E90" s="172"/>
      <c r="F90" s="172"/>
      <c r="G90" s="172"/>
      <c r="H90" s="172"/>
      <c r="I90" s="172"/>
      <c r="J90" s="168"/>
      <c r="K90" s="168"/>
      <c r="L90" s="168"/>
      <c r="N90" s="168"/>
      <c r="O90" s="168"/>
      <c r="Q90" s="168"/>
      <c r="R90" s="168"/>
      <c r="S90" s="169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4"/>
    </row>
    <row r="91" spans="1:33" ht="9.9499999999999993" customHeight="1" x14ac:dyDescent="0.15">
      <c r="M91" s="168"/>
      <c r="S91" s="169"/>
      <c r="T91" s="168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4"/>
    </row>
    <row r="92" spans="1:33" ht="9.9499999999999993" customHeight="1" x14ac:dyDescent="0.15">
      <c r="A92" s="165"/>
      <c r="B92" s="171"/>
      <c r="C92" s="184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Q92" s="168"/>
      <c r="R92" s="168"/>
      <c r="S92" s="169"/>
      <c r="T92" s="168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4"/>
    </row>
    <row r="93" spans="1:33" ht="9.9499999999999993" customHeight="1" x14ac:dyDescent="0.15">
      <c r="A93" s="165"/>
      <c r="B93" s="171"/>
      <c r="D93" s="168"/>
      <c r="E93" s="168"/>
      <c r="F93" s="168"/>
      <c r="G93" s="168"/>
      <c r="H93" s="168"/>
      <c r="I93" s="168"/>
      <c r="J93" s="168"/>
      <c r="K93" s="168"/>
      <c r="L93" s="168"/>
      <c r="N93" s="168"/>
      <c r="O93" s="168"/>
      <c r="Q93" s="168"/>
      <c r="R93" s="168"/>
      <c r="S93" s="169"/>
      <c r="T93" s="168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4"/>
    </row>
    <row r="94" spans="1:33" ht="9.9499999999999993" customHeight="1" x14ac:dyDescent="0.15">
      <c r="M94" s="168"/>
      <c r="S94" s="169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4"/>
    </row>
    <row r="95" spans="1:33" ht="9.9499999999999993" customHeight="1" x14ac:dyDescent="0.15">
      <c r="A95" s="165"/>
      <c r="B95" s="166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Q95" s="168"/>
      <c r="R95" s="168"/>
      <c r="S95" s="169"/>
      <c r="T95" s="168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4"/>
    </row>
    <row r="96" spans="1:33" ht="9.9499999999999993" customHeight="1" x14ac:dyDescent="0.15">
      <c r="A96" s="165"/>
      <c r="B96" s="166"/>
      <c r="D96" s="168"/>
      <c r="E96" s="168"/>
      <c r="F96" s="168"/>
      <c r="G96" s="168"/>
      <c r="H96" s="168"/>
      <c r="I96" s="168"/>
      <c r="J96" s="168"/>
      <c r="K96" s="168"/>
      <c r="L96" s="168"/>
      <c r="N96" s="168"/>
      <c r="O96" s="168"/>
      <c r="Q96" s="168"/>
      <c r="R96" s="168"/>
      <c r="S96" s="169"/>
      <c r="T96" s="168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4"/>
    </row>
    <row r="97" spans="1:33" ht="9.9499999999999993" customHeight="1" x14ac:dyDescent="0.15">
      <c r="M97" s="168"/>
      <c r="S97" s="169"/>
      <c r="T97" s="168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4"/>
    </row>
    <row r="98" spans="1:33" ht="9.9499999999999993" customHeight="1" x14ac:dyDescent="0.15">
      <c r="A98" s="165"/>
      <c r="B98" s="166"/>
      <c r="D98" s="172"/>
      <c r="E98" s="172"/>
      <c r="F98" s="172"/>
      <c r="G98" s="168"/>
      <c r="H98" s="172"/>
      <c r="I98" s="172"/>
      <c r="J98" s="172"/>
      <c r="K98" s="168"/>
      <c r="L98" s="168"/>
      <c r="M98" s="168"/>
      <c r="N98" s="168"/>
      <c r="O98" s="168"/>
      <c r="Q98" s="168"/>
      <c r="R98" s="168"/>
      <c r="S98" s="169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4"/>
    </row>
    <row r="99" spans="1:33" ht="9.9499999999999993" customHeight="1" x14ac:dyDescent="0.15">
      <c r="A99" s="165"/>
      <c r="B99" s="166"/>
      <c r="D99" s="172"/>
      <c r="E99" s="172"/>
      <c r="F99" s="172"/>
      <c r="G99" s="168"/>
      <c r="H99" s="172"/>
      <c r="I99" s="172"/>
      <c r="J99" s="172"/>
      <c r="K99" s="168"/>
      <c r="L99" s="168"/>
      <c r="N99" s="168"/>
      <c r="O99" s="168"/>
      <c r="Q99" s="168"/>
      <c r="R99" s="168"/>
      <c r="S99" s="169"/>
      <c r="T99" s="168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4"/>
    </row>
    <row r="100" spans="1:33" ht="9.9499999999999993" customHeight="1" x14ac:dyDescent="0.15">
      <c r="S100" s="169"/>
      <c r="T100" s="168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4"/>
    </row>
    <row r="101" spans="1:33" ht="9.9499999999999993" customHeight="1" x14ac:dyDescent="0.15">
      <c r="Q101" s="168"/>
      <c r="R101" s="168"/>
      <c r="T101" s="168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4"/>
    </row>
    <row r="102" spans="1:33" ht="9.9499999999999993" customHeight="1" x14ac:dyDescent="0.15">
      <c r="A102" s="165"/>
      <c r="B102" s="166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Q102" s="168"/>
      <c r="R102" s="168"/>
      <c r="S102" s="169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4"/>
    </row>
    <row r="103" spans="1:33" ht="9.9499999999999993" customHeight="1" x14ac:dyDescent="0.15">
      <c r="A103" s="165"/>
      <c r="B103" s="166"/>
      <c r="D103" s="168"/>
      <c r="E103" s="168"/>
      <c r="F103" s="168"/>
      <c r="G103" s="168"/>
      <c r="H103" s="168"/>
      <c r="I103" s="168"/>
      <c r="J103" s="168"/>
      <c r="K103" s="168"/>
      <c r="L103" s="168"/>
      <c r="N103" s="168"/>
      <c r="O103" s="168"/>
      <c r="Q103" s="168"/>
      <c r="R103" s="168"/>
      <c r="S103" s="169"/>
      <c r="T103" s="168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4"/>
    </row>
    <row r="104" spans="1:33" ht="9.9499999999999993" customHeight="1" x14ac:dyDescent="0.15">
      <c r="M104" s="168"/>
      <c r="S104" s="169"/>
      <c r="T104" s="168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4"/>
    </row>
    <row r="105" spans="1:33" ht="9.9499999999999993" customHeight="1" x14ac:dyDescent="0.15">
      <c r="A105" s="165"/>
      <c r="B105" s="171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Q105" s="168"/>
      <c r="R105" s="168"/>
      <c r="S105" s="169"/>
      <c r="T105" s="168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4"/>
    </row>
    <row r="106" spans="1:33" ht="9.9499999999999993" customHeight="1" x14ac:dyDescent="0.15">
      <c r="A106" s="165"/>
      <c r="B106" s="171"/>
      <c r="D106" s="168"/>
      <c r="E106" s="168"/>
      <c r="F106" s="168"/>
      <c r="G106" s="168"/>
      <c r="H106" s="168"/>
      <c r="I106" s="168"/>
      <c r="J106" s="168"/>
      <c r="K106" s="168"/>
      <c r="L106" s="168"/>
      <c r="N106" s="168"/>
      <c r="O106" s="168"/>
      <c r="Q106" s="168"/>
      <c r="R106" s="168"/>
      <c r="S106" s="169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4"/>
    </row>
    <row r="107" spans="1:33" ht="9.9499999999999993" customHeight="1" x14ac:dyDescent="0.15">
      <c r="M107" s="168"/>
      <c r="S107" s="169"/>
      <c r="T107" s="168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4"/>
    </row>
    <row r="108" spans="1:33" ht="9.9499999999999993" customHeight="1" x14ac:dyDescent="0.15">
      <c r="A108" s="165"/>
      <c r="B108" s="166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Q108" s="168"/>
      <c r="R108" s="168"/>
      <c r="S108" s="169"/>
      <c r="T108" s="168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4"/>
    </row>
    <row r="109" spans="1:33" ht="9.9499999999999993" customHeight="1" x14ac:dyDescent="0.15">
      <c r="A109" s="165"/>
      <c r="B109" s="166"/>
      <c r="D109" s="168"/>
      <c r="E109" s="168"/>
      <c r="F109" s="168"/>
      <c r="G109" s="168"/>
      <c r="H109" s="168"/>
      <c r="I109" s="168"/>
      <c r="J109" s="168"/>
      <c r="K109" s="168"/>
      <c r="L109" s="168"/>
      <c r="N109" s="168"/>
      <c r="O109" s="168"/>
      <c r="Q109" s="168"/>
      <c r="R109" s="168"/>
      <c r="S109" s="169"/>
      <c r="T109" s="168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4"/>
    </row>
    <row r="110" spans="1:33" ht="9.9499999999999993" customHeight="1" x14ac:dyDescent="0.15">
      <c r="M110" s="168"/>
      <c r="S110" s="169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4"/>
    </row>
    <row r="111" spans="1:33" ht="9.9499999999999993" customHeight="1" x14ac:dyDescent="0.15">
      <c r="A111" s="165"/>
      <c r="B111" s="166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Q111" s="168"/>
      <c r="R111" s="168"/>
      <c r="S111" s="169"/>
      <c r="T111" s="168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4"/>
    </row>
    <row r="112" spans="1:33" ht="9.9499999999999993" customHeight="1" x14ac:dyDescent="0.15">
      <c r="A112" s="165"/>
      <c r="B112" s="166"/>
      <c r="D112" s="168"/>
      <c r="E112" s="168"/>
      <c r="F112" s="168"/>
      <c r="G112" s="168"/>
      <c r="H112" s="168"/>
      <c r="I112" s="168"/>
      <c r="J112" s="168"/>
      <c r="K112" s="168"/>
      <c r="L112" s="168"/>
      <c r="N112" s="168"/>
      <c r="O112" s="168"/>
      <c r="Q112" s="168"/>
      <c r="R112" s="168"/>
      <c r="S112" s="169"/>
      <c r="T112" s="168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4"/>
    </row>
    <row r="113" spans="1:33" ht="9.9499999999999993" customHeight="1" x14ac:dyDescent="0.15">
      <c r="M113" s="168"/>
      <c r="S113" s="169"/>
      <c r="T113" s="168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4"/>
    </row>
    <row r="114" spans="1:33" ht="9.9499999999999993" customHeight="1" x14ac:dyDescent="0.15">
      <c r="A114" s="165"/>
      <c r="B114" s="166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Q114" s="168"/>
      <c r="R114" s="168"/>
      <c r="S114" s="169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4"/>
    </row>
    <row r="115" spans="1:33" ht="9.9499999999999993" customHeight="1" x14ac:dyDescent="0.15">
      <c r="A115" s="165"/>
      <c r="B115" s="166"/>
      <c r="D115" s="168"/>
      <c r="E115" s="168"/>
      <c r="F115" s="168"/>
      <c r="G115" s="168"/>
      <c r="H115" s="168"/>
      <c r="I115" s="168"/>
      <c r="J115" s="168"/>
      <c r="K115" s="168"/>
      <c r="L115" s="168"/>
      <c r="N115" s="168"/>
      <c r="O115" s="168"/>
      <c r="Q115" s="168"/>
      <c r="R115" s="168"/>
      <c r="S115" s="169"/>
      <c r="T115" s="168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4"/>
    </row>
    <row r="116" spans="1:33" ht="9.9499999999999993" customHeight="1" x14ac:dyDescent="0.15">
      <c r="M116" s="168"/>
      <c r="S116" s="169"/>
      <c r="T116" s="168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4"/>
    </row>
    <row r="117" spans="1:33" ht="9.9499999999999993" customHeight="1" x14ac:dyDescent="0.15">
      <c r="A117" s="165"/>
      <c r="B117" s="171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Q117" s="168"/>
      <c r="R117" s="168"/>
      <c r="S117" s="169"/>
      <c r="T117" s="168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4"/>
    </row>
    <row r="118" spans="1:33" ht="9.9499999999999993" customHeight="1" x14ac:dyDescent="0.15">
      <c r="A118" s="165"/>
      <c r="B118" s="171"/>
      <c r="D118" s="168"/>
      <c r="E118" s="168"/>
      <c r="F118" s="168"/>
      <c r="G118" s="168"/>
      <c r="H118" s="168"/>
      <c r="I118" s="168"/>
      <c r="J118" s="168"/>
      <c r="K118" s="168"/>
      <c r="L118" s="168"/>
      <c r="N118" s="168"/>
      <c r="O118" s="168"/>
      <c r="Q118" s="168"/>
      <c r="R118" s="168"/>
      <c r="S118" s="169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4"/>
    </row>
    <row r="119" spans="1:33" ht="9.9499999999999993" customHeight="1" x14ac:dyDescent="0.15">
      <c r="M119" s="168"/>
      <c r="S119" s="169"/>
      <c r="T119" s="168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4"/>
    </row>
    <row r="120" spans="1:33" ht="9.9499999999999993" customHeight="1" x14ac:dyDescent="0.15">
      <c r="A120" s="165"/>
      <c r="B120" s="166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Q120" s="168"/>
      <c r="R120" s="168"/>
      <c r="S120" s="169"/>
      <c r="T120" s="168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4"/>
    </row>
    <row r="121" spans="1:33" ht="9.9499999999999993" customHeight="1" x14ac:dyDescent="0.15">
      <c r="A121" s="165"/>
      <c r="B121" s="166"/>
      <c r="D121" s="168"/>
      <c r="E121" s="168"/>
      <c r="F121" s="168"/>
      <c r="G121" s="168"/>
      <c r="H121" s="168"/>
      <c r="I121" s="168"/>
      <c r="J121" s="168"/>
      <c r="K121" s="168"/>
      <c r="L121" s="168"/>
      <c r="N121" s="168"/>
      <c r="O121" s="168"/>
      <c r="Q121" s="168"/>
      <c r="R121" s="168"/>
      <c r="S121" s="169"/>
      <c r="T121" s="168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4"/>
    </row>
    <row r="122" spans="1:33" ht="9.9499999999999993" customHeight="1" x14ac:dyDescent="0.15">
      <c r="M122" s="168"/>
      <c r="S122" s="169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4"/>
    </row>
    <row r="123" spans="1:33" ht="9.9499999999999993" customHeight="1" x14ac:dyDescent="0.15">
      <c r="A123" s="165"/>
      <c r="B123" s="166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Q123" s="168"/>
      <c r="R123" s="168"/>
      <c r="S123" s="169"/>
      <c r="T123" s="168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4"/>
    </row>
    <row r="124" spans="1:33" ht="9.9499999999999993" customHeight="1" x14ac:dyDescent="0.15">
      <c r="A124" s="165"/>
      <c r="B124" s="166"/>
      <c r="D124" s="168"/>
      <c r="E124" s="168"/>
      <c r="F124" s="168"/>
      <c r="G124" s="168"/>
      <c r="H124" s="168"/>
      <c r="I124" s="168"/>
      <c r="J124" s="168"/>
      <c r="K124" s="168"/>
      <c r="L124" s="168"/>
      <c r="N124" s="168"/>
      <c r="O124" s="168"/>
      <c r="Q124" s="168"/>
      <c r="R124" s="168"/>
      <c r="S124" s="169"/>
      <c r="T124" s="168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  <c r="AE124" s="173"/>
      <c r="AF124" s="173"/>
      <c r="AG124" s="174"/>
    </row>
    <row r="125" spans="1:33" ht="9.9499999999999993" customHeight="1" x14ac:dyDescent="0.15">
      <c r="M125" s="168"/>
      <c r="S125" s="169"/>
      <c r="T125" s="168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4"/>
    </row>
    <row r="126" spans="1:33" ht="9.9499999999999993" customHeight="1" x14ac:dyDescent="0.15">
      <c r="A126" s="165"/>
      <c r="B126" s="171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Q126" s="168"/>
      <c r="R126" s="168"/>
      <c r="S126" s="169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4"/>
    </row>
    <row r="127" spans="1:33" ht="9.9499999999999993" customHeight="1" x14ac:dyDescent="0.15">
      <c r="A127" s="165"/>
      <c r="B127" s="171"/>
      <c r="D127" s="168"/>
      <c r="E127" s="168"/>
      <c r="F127" s="168"/>
      <c r="G127" s="168"/>
      <c r="H127" s="168"/>
      <c r="I127" s="168"/>
      <c r="J127" s="168"/>
      <c r="K127" s="168"/>
      <c r="L127" s="168"/>
      <c r="N127" s="168"/>
      <c r="O127" s="168"/>
      <c r="Q127" s="168"/>
      <c r="R127" s="168"/>
      <c r="S127" s="169"/>
      <c r="T127" s="168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4"/>
    </row>
    <row r="128" spans="1:33" ht="9.9499999999999993" customHeight="1" x14ac:dyDescent="0.15">
      <c r="M128" s="168"/>
      <c r="S128" s="169"/>
      <c r="T128" s="168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4"/>
    </row>
    <row r="129" spans="1:33" ht="9.9499999999999993" customHeight="1" x14ac:dyDescent="0.15">
      <c r="A129" s="165"/>
      <c r="B129" s="166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Q129" s="168"/>
      <c r="R129" s="168"/>
      <c r="S129" s="169"/>
      <c r="T129" s="168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4"/>
    </row>
    <row r="130" spans="1:33" ht="9.9499999999999993" customHeight="1" x14ac:dyDescent="0.15">
      <c r="A130" s="165"/>
      <c r="B130" s="166"/>
      <c r="D130" s="168"/>
      <c r="E130" s="168"/>
      <c r="F130" s="168"/>
      <c r="G130" s="168"/>
      <c r="H130" s="168"/>
      <c r="I130" s="168"/>
      <c r="J130" s="168"/>
      <c r="K130" s="168"/>
      <c r="L130" s="168"/>
      <c r="N130" s="168"/>
      <c r="O130" s="168"/>
      <c r="Q130" s="168"/>
      <c r="R130" s="168"/>
      <c r="S130" s="169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4"/>
    </row>
    <row r="131" spans="1:33" ht="9.9499999999999993" customHeight="1" x14ac:dyDescent="0.15">
      <c r="M131" s="168"/>
      <c r="S131" s="169"/>
      <c r="T131" s="168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4"/>
    </row>
    <row r="132" spans="1:33" ht="9.9499999999999993" customHeight="1" x14ac:dyDescent="0.15">
      <c r="A132" s="165"/>
      <c r="B132" s="166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Q132" s="168"/>
      <c r="R132" s="168"/>
      <c r="S132" s="169"/>
      <c r="T132" s="168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4"/>
    </row>
    <row r="133" spans="1:33" ht="9.9499999999999993" customHeight="1" x14ac:dyDescent="0.15">
      <c r="A133" s="165"/>
      <c r="B133" s="166"/>
      <c r="D133" s="168"/>
      <c r="E133" s="168"/>
      <c r="F133" s="168"/>
      <c r="G133" s="168"/>
      <c r="H133" s="168"/>
      <c r="I133" s="168"/>
      <c r="J133" s="168"/>
      <c r="K133" s="168"/>
      <c r="L133" s="168"/>
      <c r="N133" s="168"/>
      <c r="O133" s="168"/>
      <c r="Q133" s="168"/>
      <c r="R133" s="168"/>
      <c r="S133" s="169"/>
      <c r="T133" s="168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4"/>
    </row>
    <row r="134" spans="1:33" ht="9.9499999999999993" customHeight="1" x14ac:dyDescent="0.15">
      <c r="M134" s="168"/>
      <c r="S134" s="169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4"/>
    </row>
    <row r="135" spans="1:33" ht="9.9499999999999993" customHeight="1" x14ac:dyDescent="0.15">
      <c r="A135" s="165"/>
      <c r="B135" s="171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Q135" s="168"/>
      <c r="R135" s="168"/>
      <c r="S135" s="169"/>
      <c r="T135" s="168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4"/>
    </row>
    <row r="136" spans="1:33" ht="9.9499999999999993" customHeight="1" x14ac:dyDescent="0.15">
      <c r="A136" s="165"/>
      <c r="B136" s="171"/>
      <c r="D136" s="168"/>
      <c r="E136" s="168"/>
      <c r="F136" s="168"/>
      <c r="G136" s="168"/>
      <c r="H136" s="168"/>
      <c r="I136" s="168"/>
      <c r="J136" s="168"/>
      <c r="K136" s="168"/>
      <c r="L136" s="168"/>
      <c r="N136" s="168"/>
      <c r="O136" s="168"/>
      <c r="Q136" s="168"/>
      <c r="R136" s="168"/>
      <c r="S136" s="169"/>
      <c r="T136" s="168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4"/>
    </row>
    <row r="137" spans="1:33" ht="9.9499999999999993" customHeight="1" x14ac:dyDescent="0.15">
      <c r="M137" s="168"/>
      <c r="S137" s="169"/>
      <c r="T137" s="168"/>
      <c r="U137" s="173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4"/>
    </row>
    <row r="138" spans="1:33" ht="9.9499999999999993" customHeight="1" x14ac:dyDescent="0.15">
      <c r="A138" s="165"/>
      <c r="B138" s="166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Q138" s="168"/>
      <c r="R138" s="168"/>
      <c r="S138" s="169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4"/>
    </row>
    <row r="139" spans="1:33" ht="9.9499999999999993" customHeight="1" x14ac:dyDescent="0.15">
      <c r="A139" s="165"/>
      <c r="B139" s="166"/>
      <c r="D139" s="168"/>
      <c r="E139" s="168"/>
      <c r="F139" s="168"/>
      <c r="G139" s="168"/>
      <c r="H139" s="168"/>
      <c r="I139" s="168"/>
      <c r="J139" s="168"/>
      <c r="K139" s="168"/>
      <c r="L139" s="168"/>
      <c r="N139" s="168"/>
      <c r="O139" s="168"/>
      <c r="Q139" s="168"/>
      <c r="R139" s="168"/>
      <c r="S139" s="169"/>
      <c r="T139" s="168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4"/>
    </row>
    <row r="140" spans="1:33" ht="9.9499999999999993" customHeight="1" x14ac:dyDescent="0.15">
      <c r="M140" s="168"/>
      <c r="S140" s="169"/>
      <c r="T140" s="168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4"/>
    </row>
    <row r="141" spans="1:33" ht="9.9499999999999993" customHeight="1" x14ac:dyDescent="0.15">
      <c r="A141" s="165"/>
      <c r="B141" s="171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Q141" s="168"/>
      <c r="R141" s="168"/>
      <c r="S141" s="169"/>
      <c r="T141" s="168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4"/>
    </row>
    <row r="142" spans="1:33" ht="9.9499999999999993" customHeight="1" x14ac:dyDescent="0.15">
      <c r="A142" s="165"/>
      <c r="B142" s="171"/>
      <c r="D142" s="168"/>
      <c r="E142" s="168"/>
      <c r="F142" s="168"/>
      <c r="G142" s="168"/>
      <c r="H142" s="168"/>
      <c r="I142" s="168"/>
      <c r="J142" s="168"/>
      <c r="K142" s="168"/>
      <c r="L142" s="168"/>
      <c r="N142" s="168"/>
      <c r="O142" s="168"/>
      <c r="Q142" s="168"/>
      <c r="R142" s="168"/>
      <c r="S142" s="169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4"/>
    </row>
    <row r="143" spans="1:33" ht="9.9499999999999993" customHeight="1" x14ac:dyDescent="0.15">
      <c r="M143" s="168"/>
      <c r="S143" s="169"/>
      <c r="T143" s="168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4"/>
    </row>
    <row r="144" spans="1:33" ht="9.9499999999999993" customHeight="1" x14ac:dyDescent="0.15">
      <c r="A144" s="165"/>
      <c r="B144" s="166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Q144" s="168"/>
      <c r="R144" s="168"/>
      <c r="S144" s="169"/>
      <c r="T144" s="168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4"/>
    </row>
    <row r="145" spans="1:33" ht="9.9499999999999993" customHeight="1" x14ac:dyDescent="0.15">
      <c r="A145" s="165"/>
      <c r="B145" s="166"/>
      <c r="D145" s="168"/>
      <c r="E145" s="168"/>
      <c r="F145" s="168"/>
      <c r="G145" s="168"/>
      <c r="H145" s="168"/>
      <c r="I145" s="168"/>
      <c r="J145" s="168"/>
      <c r="K145" s="168"/>
      <c r="L145" s="168"/>
      <c r="N145" s="168"/>
      <c r="O145" s="168"/>
      <c r="Q145" s="168"/>
      <c r="R145" s="168"/>
      <c r="S145" s="169"/>
      <c r="T145" s="168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4"/>
    </row>
    <row r="146" spans="1:33" ht="9.9499999999999993" customHeight="1" x14ac:dyDescent="0.15">
      <c r="M146" s="168"/>
      <c r="S146" s="169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4"/>
    </row>
    <row r="147" spans="1:33" ht="9.9499999999999993" customHeight="1" x14ac:dyDescent="0.15">
      <c r="A147" s="165"/>
      <c r="B147" s="166"/>
      <c r="D147" s="172"/>
      <c r="E147" s="172"/>
      <c r="F147" s="172"/>
      <c r="G147" s="172"/>
      <c r="H147" s="172"/>
      <c r="I147" s="168"/>
      <c r="J147" s="172"/>
      <c r="K147" s="168"/>
      <c r="L147" s="168"/>
      <c r="M147" s="168"/>
      <c r="N147" s="168"/>
      <c r="O147" s="168"/>
      <c r="Q147" s="168"/>
      <c r="R147" s="168"/>
      <c r="S147" s="169"/>
      <c r="T147" s="168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4"/>
    </row>
    <row r="148" spans="1:33" ht="9.9499999999999993" customHeight="1" x14ac:dyDescent="0.15">
      <c r="A148" s="165"/>
      <c r="B148" s="166"/>
      <c r="D148" s="172"/>
      <c r="E148" s="172"/>
      <c r="F148" s="172"/>
      <c r="G148" s="172"/>
      <c r="H148" s="172"/>
      <c r="I148" s="168"/>
      <c r="J148" s="172"/>
      <c r="K148" s="168"/>
      <c r="L148" s="168"/>
      <c r="N148" s="168"/>
      <c r="O148" s="168"/>
      <c r="Q148" s="168"/>
      <c r="R148" s="168"/>
      <c r="S148" s="169"/>
      <c r="T148" s="168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4"/>
    </row>
    <row r="149" spans="1:33" ht="9.9499999999999993" customHeight="1" x14ac:dyDescent="0.15">
      <c r="M149" s="168"/>
      <c r="S149" s="169"/>
      <c r="T149" s="168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174"/>
    </row>
    <row r="150" spans="1:33" ht="9.9499999999999993" customHeight="1" x14ac:dyDescent="0.15">
      <c r="A150" s="165"/>
      <c r="B150" s="171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Q150" s="168"/>
      <c r="R150" s="168"/>
      <c r="S150" s="169"/>
      <c r="U150" s="173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4"/>
    </row>
    <row r="151" spans="1:33" ht="9.9499999999999993" customHeight="1" x14ac:dyDescent="0.15">
      <c r="A151" s="165"/>
      <c r="B151" s="171"/>
      <c r="D151" s="168"/>
      <c r="E151" s="168"/>
      <c r="F151" s="168"/>
      <c r="G151" s="168"/>
      <c r="H151" s="168"/>
      <c r="I151" s="168"/>
      <c r="J151" s="168"/>
      <c r="K151" s="168"/>
      <c r="L151" s="168"/>
      <c r="N151" s="168"/>
      <c r="O151" s="168"/>
      <c r="Q151" s="168"/>
      <c r="R151" s="168"/>
      <c r="S151" s="169"/>
      <c r="T151" s="168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4"/>
    </row>
    <row r="152" spans="1:33" ht="9.9499999999999993" customHeight="1" x14ac:dyDescent="0.15">
      <c r="M152" s="168"/>
      <c r="S152" s="169"/>
      <c r="T152" s="168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4"/>
    </row>
    <row r="153" spans="1:33" ht="9.9499999999999993" customHeight="1" x14ac:dyDescent="0.15">
      <c r="A153" s="165"/>
      <c r="B153" s="166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Q153" s="168"/>
      <c r="R153" s="168"/>
      <c r="S153" s="169"/>
      <c r="T153" s="168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4"/>
    </row>
    <row r="154" spans="1:33" ht="9.9499999999999993" customHeight="1" x14ac:dyDescent="0.15">
      <c r="A154" s="165"/>
      <c r="B154" s="166"/>
      <c r="D154" s="168"/>
      <c r="E154" s="168"/>
      <c r="F154" s="168"/>
      <c r="G154" s="168"/>
      <c r="H154" s="168"/>
      <c r="I154" s="168"/>
      <c r="J154" s="168"/>
      <c r="K154" s="168"/>
      <c r="L154" s="168"/>
      <c r="N154" s="168"/>
      <c r="O154" s="168"/>
      <c r="Q154" s="168"/>
      <c r="R154" s="168"/>
      <c r="S154" s="169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4"/>
    </row>
    <row r="155" spans="1:33" ht="9.9499999999999993" customHeight="1" x14ac:dyDescent="0.15">
      <c r="M155" s="168"/>
      <c r="S155" s="169"/>
      <c r="T155" s="168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4"/>
    </row>
    <row r="156" spans="1:33" ht="9.9499999999999993" customHeight="1" x14ac:dyDescent="0.15">
      <c r="A156" s="165"/>
      <c r="B156" s="171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Q156" s="168"/>
      <c r="R156" s="168"/>
      <c r="S156" s="169"/>
      <c r="T156" s="168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4"/>
    </row>
    <row r="157" spans="1:33" ht="9.9499999999999993" customHeight="1" x14ac:dyDescent="0.15">
      <c r="A157" s="165"/>
      <c r="B157" s="171"/>
      <c r="D157" s="168"/>
      <c r="E157" s="168"/>
      <c r="F157" s="168"/>
      <c r="G157" s="168"/>
      <c r="H157" s="168"/>
      <c r="I157" s="168"/>
      <c r="J157" s="168"/>
      <c r="K157" s="168"/>
      <c r="L157" s="168"/>
      <c r="N157" s="168"/>
      <c r="O157" s="168"/>
      <c r="Q157" s="168"/>
      <c r="R157" s="168"/>
      <c r="S157" s="169"/>
      <c r="T157" s="168"/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4"/>
    </row>
    <row r="158" spans="1:33" ht="9.9499999999999993" customHeight="1" x14ac:dyDescent="0.15">
      <c r="M158" s="168"/>
      <c r="S158" s="169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4"/>
    </row>
    <row r="159" spans="1:33" ht="9.9499999999999993" customHeight="1" x14ac:dyDescent="0.15">
      <c r="A159" s="165"/>
      <c r="B159" s="166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Q159" s="168"/>
      <c r="R159" s="168"/>
      <c r="S159" s="169"/>
      <c r="T159" s="168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4"/>
    </row>
    <row r="160" spans="1:33" ht="9.9499999999999993" customHeight="1" x14ac:dyDescent="0.15">
      <c r="A160" s="165"/>
      <c r="B160" s="166"/>
      <c r="D160" s="168"/>
      <c r="E160" s="168"/>
      <c r="F160" s="168"/>
      <c r="G160" s="168"/>
      <c r="H160" s="168"/>
      <c r="I160" s="168"/>
      <c r="J160" s="168"/>
      <c r="K160" s="168"/>
      <c r="L160" s="168"/>
      <c r="N160" s="168"/>
      <c r="O160" s="168"/>
      <c r="Q160" s="168"/>
      <c r="R160" s="168"/>
      <c r="S160" s="169"/>
      <c r="T160" s="168"/>
      <c r="U160" s="173"/>
      <c r="V160" s="173"/>
      <c r="W160" s="173"/>
      <c r="X160" s="173"/>
      <c r="Y160" s="173"/>
      <c r="Z160" s="173"/>
      <c r="AA160" s="173"/>
      <c r="AB160" s="173"/>
      <c r="AC160" s="173"/>
      <c r="AD160" s="173"/>
      <c r="AE160" s="173"/>
      <c r="AF160" s="173"/>
      <c r="AG160" s="174"/>
    </row>
    <row r="161" spans="1:33" ht="9.9499999999999993" customHeight="1" x14ac:dyDescent="0.15">
      <c r="M161" s="168"/>
      <c r="S161" s="169"/>
      <c r="T161" s="168"/>
      <c r="U161" s="173"/>
      <c r="V161" s="173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4"/>
    </row>
    <row r="162" spans="1:33" ht="9.9499999999999993" customHeight="1" x14ac:dyDescent="0.15">
      <c r="A162" s="165"/>
      <c r="B162" s="166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Q162" s="168"/>
      <c r="R162" s="168"/>
      <c r="S162" s="169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4"/>
    </row>
    <row r="163" spans="1:33" ht="9.9499999999999993" customHeight="1" x14ac:dyDescent="0.15">
      <c r="A163" s="165"/>
      <c r="B163" s="166"/>
      <c r="D163" s="168"/>
      <c r="E163" s="168"/>
      <c r="F163" s="168"/>
      <c r="G163" s="168"/>
      <c r="H163" s="168"/>
      <c r="I163" s="168"/>
      <c r="J163" s="168"/>
      <c r="K163" s="168"/>
      <c r="L163" s="168"/>
      <c r="N163" s="168"/>
      <c r="O163" s="168"/>
      <c r="Q163" s="168"/>
      <c r="R163" s="168"/>
      <c r="S163" s="169"/>
      <c r="T163" s="168"/>
      <c r="U163" s="173"/>
      <c r="V163" s="173"/>
      <c r="W163" s="173"/>
      <c r="X163" s="173"/>
      <c r="Y163" s="173"/>
      <c r="Z163" s="173"/>
      <c r="AA163" s="173"/>
      <c r="AB163" s="173"/>
      <c r="AC163" s="173"/>
      <c r="AD163" s="173"/>
      <c r="AE163" s="173"/>
      <c r="AF163" s="173"/>
      <c r="AG163" s="174"/>
    </row>
    <row r="164" spans="1:33" ht="9.9499999999999993" customHeight="1" x14ac:dyDescent="0.15">
      <c r="M164" s="168"/>
      <c r="S164" s="169"/>
      <c r="T164" s="168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4"/>
    </row>
    <row r="165" spans="1:33" ht="9.9499999999999993" customHeight="1" x14ac:dyDescent="0.15">
      <c r="A165" s="165"/>
      <c r="B165" s="166"/>
      <c r="D165" s="168"/>
      <c r="E165" s="172"/>
      <c r="F165" s="172"/>
      <c r="G165" s="168"/>
      <c r="H165" s="168"/>
      <c r="I165" s="168"/>
      <c r="J165" s="168"/>
      <c r="K165" s="168"/>
      <c r="L165" s="168"/>
      <c r="M165" s="168"/>
      <c r="N165" s="168"/>
      <c r="O165" s="168"/>
      <c r="Q165" s="168"/>
      <c r="R165" s="168"/>
      <c r="S165" s="169"/>
      <c r="T165" s="168"/>
    </row>
    <row r="166" spans="1:33" ht="9.9499999999999993" customHeight="1" x14ac:dyDescent="0.15">
      <c r="A166" s="165"/>
      <c r="B166" s="166"/>
      <c r="D166" s="168"/>
      <c r="E166" s="172"/>
      <c r="F166" s="172"/>
      <c r="G166" s="168"/>
      <c r="H166" s="168"/>
      <c r="I166" s="168"/>
      <c r="J166" s="168"/>
      <c r="K166" s="168"/>
      <c r="L166" s="168"/>
      <c r="N166" s="168"/>
      <c r="O166" s="168"/>
      <c r="Q166" s="168"/>
      <c r="R166" s="168"/>
      <c r="S166" s="169"/>
    </row>
    <row r="167" spans="1:33" ht="9.9499999999999993" customHeight="1" x14ac:dyDescent="0.15">
      <c r="M167" s="168"/>
      <c r="S167" s="169"/>
      <c r="T167" s="168"/>
    </row>
    <row r="168" spans="1:33" ht="9.9499999999999993" customHeight="1" x14ac:dyDescent="0.15">
      <c r="A168" s="165"/>
      <c r="B168" s="171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Q168" s="168"/>
      <c r="R168" s="168"/>
      <c r="S168" s="169"/>
      <c r="T168" s="168"/>
    </row>
    <row r="169" spans="1:33" ht="9.9499999999999993" customHeight="1" x14ac:dyDescent="0.15">
      <c r="A169" s="165"/>
      <c r="B169" s="171"/>
      <c r="D169" s="168"/>
      <c r="E169" s="168"/>
      <c r="F169" s="168"/>
      <c r="G169" s="168"/>
      <c r="H169" s="168"/>
      <c r="I169" s="168"/>
      <c r="J169" s="168"/>
      <c r="K169" s="168"/>
      <c r="L169" s="168"/>
      <c r="N169" s="168"/>
      <c r="O169" s="168"/>
      <c r="Q169" s="168"/>
      <c r="R169" s="168"/>
      <c r="S169" s="169"/>
      <c r="T169" s="168"/>
    </row>
    <row r="170" spans="1:33" ht="9.9499999999999993" customHeight="1" x14ac:dyDescent="0.15">
      <c r="M170" s="168"/>
      <c r="S170" s="169"/>
    </row>
    <row r="171" spans="1:33" ht="9.9499999999999993" customHeight="1" x14ac:dyDescent="0.15">
      <c r="A171" s="165"/>
      <c r="B171" s="166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Q171" s="168"/>
      <c r="R171" s="168"/>
      <c r="S171" s="169"/>
      <c r="T171" s="168"/>
    </row>
    <row r="172" spans="1:33" ht="9.9499999999999993" customHeight="1" x14ac:dyDescent="0.15">
      <c r="A172" s="165"/>
      <c r="B172" s="166"/>
      <c r="D172" s="168"/>
      <c r="E172" s="168"/>
      <c r="F172" s="168"/>
      <c r="G172" s="168"/>
      <c r="H172" s="168"/>
      <c r="I172" s="168"/>
      <c r="J172" s="168"/>
      <c r="K172" s="168"/>
      <c r="L172" s="168"/>
      <c r="N172" s="168"/>
      <c r="O172" s="168"/>
      <c r="Q172" s="168"/>
      <c r="R172" s="168"/>
      <c r="S172" s="169"/>
      <c r="T172" s="168"/>
    </row>
    <row r="173" spans="1:33" ht="9.9499999999999993" customHeight="1" x14ac:dyDescent="0.15">
      <c r="M173" s="168"/>
      <c r="S173" s="169"/>
      <c r="T173" s="168"/>
    </row>
    <row r="174" spans="1:33" ht="9.9499999999999993" customHeight="1" x14ac:dyDescent="0.15">
      <c r="A174" s="165"/>
      <c r="B174" s="166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Q174" s="168"/>
      <c r="R174" s="168"/>
      <c r="S174" s="169"/>
    </row>
    <row r="175" spans="1:33" ht="9.9499999999999993" customHeight="1" x14ac:dyDescent="0.15">
      <c r="A175" s="165"/>
      <c r="B175" s="166"/>
      <c r="D175" s="168"/>
      <c r="E175" s="168"/>
      <c r="F175" s="168"/>
      <c r="G175" s="168"/>
      <c r="H175" s="168"/>
      <c r="I175" s="168"/>
      <c r="J175" s="168"/>
      <c r="K175" s="168"/>
      <c r="L175" s="168"/>
      <c r="N175" s="168"/>
      <c r="O175" s="168"/>
      <c r="Q175" s="168"/>
      <c r="R175" s="168"/>
      <c r="S175" s="169"/>
      <c r="T175" s="168"/>
    </row>
    <row r="176" spans="1:33" ht="9.9499999999999993" customHeight="1" x14ac:dyDescent="0.15">
      <c r="M176" s="168"/>
      <c r="S176" s="169"/>
      <c r="T176" s="168"/>
    </row>
    <row r="177" spans="1:20" ht="9.9499999999999993" customHeight="1" x14ac:dyDescent="0.15">
      <c r="A177" s="165"/>
      <c r="B177" s="166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Q177" s="168"/>
      <c r="R177" s="168"/>
      <c r="S177" s="169"/>
      <c r="T177" s="168"/>
    </row>
    <row r="178" spans="1:20" ht="9.9499999999999993" customHeight="1" x14ac:dyDescent="0.15">
      <c r="A178" s="165"/>
      <c r="B178" s="166"/>
      <c r="D178" s="168"/>
      <c r="E178" s="168"/>
      <c r="F178" s="168"/>
      <c r="G178" s="168"/>
      <c r="H178" s="168"/>
      <c r="I178" s="168"/>
      <c r="J178" s="168"/>
      <c r="K178" s="168"/>
      <c r="L178" s="168"/>
      <c r="N178" s="168"/>
      <c r="O178" s="168"/>
      <c r="Q178" s="168"/>
      <c r="R178" s="168"/>
      <c r="S178" s="169"/>
    </row>
    <row r="179" spans="1:20" ht="9.9499999999999993" customHeight="1" x14ac:dyDescent="0.15">
      <c r="M179" s="168"/>
      <c r="S179" s="169"/>
      <c r="T179" s="168"/>
    </row>
    <row r="180" spans="1:20" ht="9.9499999999999993" customHeight="1" x14ac:dyDescent="0.15">
      <c r="A180" s="165"/>
      <c r="B180" s="171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Q180" s="168"/>
      <c r="R180" s="168"/>
      <c r="S180" s="169"/>
      <c r="T180" s="168"/>
    </row>
    <row r="181" spans="1:20" ht="9.9499999999999993" customHeight="1" x14ac:dyDescent="0.15">
      <c r="A181" s="165"/>
      <c r="B181" s="171"/>
      <c r="D181" s="168"/>
      <c r="E181" s="168"/>
      <c r="F181" s="168"/>
      <c r="G181" s="168"/>
      <c r="H181" s="168"/>
      <c r="I181" s="168"/>
      <c r="J181" s="168"/>
      <c r="K181" s="168"/>
      <c r="L181" s="168"/>
      <c r="N181" s="168"/>
      <c r="O181" s="168"/>
      <c r="Q181" s="168"/>
      <c r="R181" s="168"/>
      <c r="S181" s="169"/>
      <c r="T181" s="168"/>
    </row>
    <row r="182" spans="1:20" ht="9.9499999999999993" customHeight="1" x14ac:dyDescent="0.15">
      <c r="M182" s="168"/>
      <c r="S182" s="169"/>
    </row>
    <row r="183" spans="1:20" ht="9.9499999999999993" customHeight="1" x14ac:dyDescent="0.15">
      <c r="A183" s="165"/>
      <c r="B183" s="166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Q183" s="168"/>
      <c r="R183" s="168"/>
      <c r="S183" s="169"/>
      <c r="T183" s="168"/>
    </row>
    <row r="184" spans="1:20" ht="9.9499999999999993" customHeight="1" x14ac:dyDescent="0.15">
      <c r="A184" s="165"/>
      <c r="B184" s="166"/>
      <c r="D184" s="168"/>
      <c r="E184" s="168"/>
      <c r="F184" s="168"/>
      <c r="G184" s="168"/>
      <c r="H184" s="168"/>
      <c r="I184" s="168"/>
      <c r="J184" s="168"/>
      <c r="K184" s="168"/>
      <c r="L184" s="168"/>
      <c r="N184" s="168"/>
      <c r="O184" s="168"/>
      <c r="Q184" s="168"/>
      <c r="R184" s="168"/>
      <c r="S184" s="169"/>
      <c r="T184" s="168"/>
    </row>
    <row r="185" spans="1:20" ht="9.9499999999999993" customHeight="1" x14ac:dyDescent="0.15">
      <c r="M185" s="168"/>
      <c r="S185" s="169"/>
      <c r="T185" s="168"/>
    </row>
    <row r="186" spans="1:20" ht="9.9499999999999993" customHeight="1" x14ac:dyDescent="0.15">
      <c r="A186" s="165"/>
      <c r="B186" s="166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Q186" s="168"/>
      <c r="R186" s="168"/>
      <c r="S186" s="169"/>
    </row>
    <row r="187" spans="1:20" ht="9.9499999999999993" customHeight="1" x14ac:dyDescent="0.15">
      <c r="A187" s="165"/>
      <c r="B187" s="166"/>
      <c r="D187" s="168"/>
      <c r="E187" s="168"/>
      <c r="F187" s="168"/>
      <c r="G187" s="168"/>
      <c r="H187" s="168"/>
      <c r="I187" s="168"/>
      <c r="J187" s="168"/>
      <c r="K187" s="168"/>
      <c r="L187" s="168"/>
      <c r="N187" s="168"/>
      <c r="O187" s="168"/>
      <c r="Q187" s="168"/>
      <c r="R187" s="168"/>
      <c r="S187" s="169"/>
      <c r="T187" s="168"/>
    </row>
    <row r="188" spans="1:20" ht="9.9499999999999993" customHeight="1" x14ac:dyDescent="0.15">
      <c r="M188" s="168"/>
      <c r="S188" s="169"/>
      <c r="T188" s="168"/>
    </row>
    <row r="189" spans="1:20" ht="9.9499999999999993" customHeight="1" x14ac:dyDescent="0.15">
      <c r="A189" s="165"/>
      <c r="B189" s="171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Q189" s="168"/>
      <c r="R189" s="168"/>
      <c r="S189" s="169"/>
      <c r="T189" s="168"/>
    </row>
    <row r="190" spans="1:20" ht="9.9499999999999993" customHeight="1" x14ac:dyDescent="0.15">
      <c r="A190" s="165"/>
      <c r="B190" s="171"/>
      <c r="D190" s="168"/>
      <c r="E190" s="168"/>
      <c r="F190" s="168"/>
      <c r="G190" s="168"/>
      <c r="H190" s="168"/>
      <c r="I190" s="168"/>
      <c r="J190" s="168"/>
      <c r="K190" s="168"/>
      <c r="L190" s="168"/>
      <c r="N190" s="168"/>
      <c r="O190" s="168"/>
      <c r="Q190" s="168"/>
      <c r="R190" s="168"/>
      <c r="S190" s="169"/>
    </row>
    <row r="191" spans="1:20" ht="9.9499999999999993" customHeight="1" x14ac:dyDescent="0.15">
      <c r="M191" s="168"/>
      <c r="S191" s="169"/>
      <c r="T191" s="168"/>
    </row>
    <row r="192" spans="1:20" ht="9.9499999999999993" customHeight="1" x14ac:dyDescent="0.15">
      <c r="A192" s="165"/>
      <c r="B192" s="166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Q192" s="168"/>
      <c r="R192" s="168"/>
      <c r="S192" s="169"/>
      <c r="T192" s="168"/>
    </row>
    <row r="193" spans="1:20" ht="9.9499999999999993" customHeight="1" x14ac:dyDescent="0.15">
      <c r="A193" s="165"/>
      <c r="B193" s="166"/>
      <c r="D193" s="168"/>
      <c r="E193" s="168"/>
      <c r="F193" s="168"/>
      <c r="G193" s="168"/>
      <c r="H193" s="168"/>
      <c r="I193" s="168"/>
      <c r="J193" s="168"/>
      <c r="K193" s="168"/>
      <c r="L193" s="168"/>
      <c r="N193" s="168"/>
      <c r="O193" s="168"/>
      <c r="Q193" s="168"/>
      <c r="R193" s="168"/>
      <c r="S193" s="169"/>
      <c r="T193" s="168"/>
    </row>
    <row r="194" spans="1:20" ht="9.9499999999999993" customHeight="1" x14ac:dyDescent="0.15">
      <c r="M194" s="168"/>
      <c r="S194" s="169"/>
    </row>
    <row r="195" spans="1:20" ht="9.9499999999999993" customHeight="1" x14ac:dyDescent="0.15">
      <c r="A195" s="165"/>
      <c r="B195" s="166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Q195" s="168"/>
      <c r="R195" s="168"/>
      <c r="S195" s="169"/>
      <c r="T195" s="168"/>
    </row>
    <row r="196" spans="1:20" ht="9.9499999999999993" customHeight="1" x14ac:dyDescent="0.15">
      <c r="A196" s="165"/>
      <c r="B196" s="166"/>
      <c r="D196" s="168"/>
      <c r="E196" s="168"/>
      <c r="F196" s="168"/>
      <c r="G196" s="168"/>
      <c r="H196" s="168"/>
      <c r="I196" s="168"/>
      <c r="J196" s="168"/>
      <c r="K196" s="168"/>
      <c r="L196" s="168"/>
      <c r="N196" s="168"/>
      <c r="O196" s="168"/>
      <c r="Q196" s="168"/>
      <c r="R196" s="168"/>
      <c r="S196" s="169"/>
      <c r="T196" s="168"/>
    </row>
    <row r="197" spans="1:20" ht="9.9499999999999993" customHeight="1" x14ac:dyDescent="0.15">
      <c r="M197" s="168"/>
      <c r="S197" s="169"/>
      <c r="T197" s="168"/>
    </row>
    <row r="198" spans="1:20" ht="9.9499999999999993" customHeight="1" x14ac:dyDescent="0.15">
      <c r="A198" s="165"/>
      <c r="B198" s="171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Q198" s="168"/>
      <c r="R198" s="168"/>
      <c r="S198" s="169"/>
    </row>
    <row r="199" spans="1:20" ht="9.9499999999999993" customHeight="1" x14ac:dyDescent="0.15">
      <c r="A199" s="165"/>
      <c r="B199" s="171"/>
      <c r="D199" s="168"/>
      <c r="E199" s="168"/>
      <c r="F199" s="168"/>
      <c r="G199" s="168"/>
      <c r="H199" s="168"/>
      <c r="I199" s="168"/>
      <c r="J199" s="168"/>
      <c r="K199" s="168"/>
      <c r="L199" s="168"/>
      <c r="N199" s="168"/>
      <c r="O199" s="168"/>
      <c r="Q199" s="168"/>
      <c r="R199" s="168"/>
      <c r="S199" s="169"/>
      <c r="T199" s="168"/>
    </row>
    <row r="200" spans="1:20" ht="9.9499999999999993" customHeight="1" x14ac:dyDescent="0.15">
      <c r="M200" s="168"/>
      <c r="S200" s="169"/>
      <c r="T200" s="168"/>
    </row>
    <row r="201" spans="1:20" ht="9.9499999999999993" customHeight="1" x14ac:dyDescent="0.15">
      <c r="A201" s="165"/>
      <c r="B201" s="166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Q201" s="168"/>
      <c r="R201" s="168"/>
      <c r="S201" s="169"/>
      <c r="T201" s="168"/>
    </row>
    <row r="202" spans="1:20" ht="9.9499999999999993" customHeight="1" x14ac:dyDescent="0.15">
      <c r="A202" s="165"/>
      <c r="B202" s="166"/>
      <c r="D202" s="168"/>
      <c r="E202" s="168"/>
      <c r="F202" s="168"/>
      <c r="G202" s="168"/>
      <c r="H202" s="168"/>
      <c r="I202" s="168"/>
      <c r="J202" s="168"/>
      <c r="K202" s="168"/>
      <c r="L202" s="168"/>
      <c r="N202" s="168"/>
      <c r="O202" s="168"/>
      <c r="Q202" s="168"/>
      <c r="R202" s="168"/>
      <c r="S202" s="169"/>
    </row>
    <row r="203" spans="1:20" ht="9.9499999999999993" customHeight="1" x14ac:dyDescent="0.15">
      <c r="M203" s="168"/>
      <c r="S203" s="169"/>
      <c r="T203" s="168"/>
    </row>
    <row r="204" spans="1:20" ht="9.9499999999999993" customHeight="1" x14ac:dyDescent="0.15">
      <c r="A204" s="165"/>
      <c r="B204" s="171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Q204" s="168"/>
      <c r="R204" s="168"/>
      <c r="S204" s="169"/>
      <c r="T204" s="168"/>
    </row>
    <row r="205" spans="1:20" ht="9.9499999999999993" customHeight="1" x14ac:dyDescent="0.15">
      <c r="A205" s="165"/>
      <c r="B205" s="171"/>
      <c r="D205" s="168"/>
      <c r="E205" s="168"/>
      <c r="F205" s="168"/>
      <c r="G205" s="168"/>
      <c r="H205" s="168"/>
      <c r="I205" s="168"/>
      <c r="J205" s="168"/>
      <c r="K205" s="168"/>
      <c r="L205" s="168"/>
      <c r="N205" s="168"/>
      <c r="O205" s="168"/>
      <c r="Q205" s="168"/>
      <c r="R205" s="168"/>
      <c r="S205" s="169"/>
      <c r="T205" s="168"/>
    </row>
    <row r="206" spans="1:20" ht="9.9499999999999993" customHeight="1" x14ac:dyDescent="0.15">
      <c r="M206" s="168"/>
      <c r="S206" s="169"/>
    </row>
    <row r="207" spans="1:20" ht="9.9499999999999993" customHeight="1" x14ac:dyDescent="0.15">
      <c r="A207" s="165"/>
      <c r="B207" s="166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Q207" s="168"/>
      <c r="R207" s="168"/>
      <c r="S207" s="169"/>
      <c r="T207" s="168"/>
    </row>
    <row r="208" spans="1:20" ht="9.9499999999999993" customHeight="1" x14ac:dyDescent="0.15">
      <c r="A208" s="165"/>
      <c r="B208" s="166"/>
      <c r="D208" s="168"/>
      <c r="E208" s="168"/>
      <c r="F208" s="168"/>
      <c r="G208" s="168"/>
      <c r="H208" s="168"/>
      <c r="I208" s="168"/>
      <c r="J208" s="168"/>
      <c r="K208" s="168"/>
      <c r="L208" s="168"/>
      <c r="N208" s="168"/>
      <c r="O208" s="168"/>
      <c r="Q208" s="168"/>
      <c r="R208" s="168"/>
      <c r="S208" s="169"/>
      <c r="T208" s="168"/>
    </row>
    <row r="209" spans="1:20" ht="9.9499999999999993" customHeight="1" x14ac:dyDescent="0.15">
      <c r="M209" s="168"/>
      <c r="S209" s="169"/>
      <c r="T209" s="168"/>
    </row>
    <row r="210" spans="1:20" ht="9.9499999999999993" customHeight="1" x14ac:dyDescent="0.15">
      <c r="A210" s="165"/>
      <c r="B210" s="166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Q210" s="168"/>
      <c r="R210" s="168"/>
      <c r="S210" s="169"/>
    </row>
    <row r="211" spans="1:20" ht="9.9499999999999993" customHeight="1" x14ac:dyDescent="0.15">
      <c r="A211" s="165"/>
      <c r="B211" s="166"/>
      <c r="D211" s="168"/>
      <c r="E211" s="168"/>
      <c r="F211" s="168"/>
      <c r="G211" s="168"/>
      <c r="H211" s="168"/>
      <c r="I211" s="168"/>
      <c r="J211" s="168"/>
      <c r="K211" s="168"/>
      <c r="L211" s="168"/>
      <c r="N211" s="168"/>
      <c r="O211" s="168"/>
      <c r="Q211" s="168"/>
      <c r="R211" s="168"/>
      <c r="S211" s="169"/>
      <c r="T211" s="168"/>
    </row>
    <row r="212" spans="1:20" ht="9.9499999999999993" customHeight="1" x14ac:dyDescent="0.15">
      <c r="M212" s="168"/>
      <c r="S212" s="169"/>
      <c r="T212" s="168"/>
    </row>
    <row r="213" spans="1:20" ht="9.9499999999999993" customHeight="1" x14ac:dyDescent="0.15">
      <c r="A213" s="165"/>
      <c r="B213" s="171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Q213" s="168"/>
      <c r="R213" s="168"/>
      <c r="S213" s="169"/>
      <c r="T213" s="168"/>
    </row>
    <row r="214" spans="1:20" ht="9.9499999999999993" customHeight="1" x14ac:dyDescent="0.15">
      <c r="A214" s="165"/>
      <c r="B214" s="171"/>
      <c r="D214" s="168"/>
      <c r="E214" s="168"/>
      <c r="F214" s="168"/>
      <c r="G214" s="168"/>
      <c r="H214" s="168"/>
      <c r="I214" s="168"/>
      <c r="J214" s="168"/>
      <c r="K214" s="168"/>
      <c r="L214" s="168"/>
      <c r="N214" s="168"/>
      <c r="O214" s="168"/>
      <c r="Q214" s="168"/>
      <c r="R214" s="168"/>
      <c r="S214" s="169"/>
    </row>
    <row r="215" spans="1:20" ht="9.9499999999999993" customHeight="1" x14ac:dyDescent="0.15">
      <c r="M215" s="168"/>
      <c r="S215" s="169"/>
      <c r="T215" s="168"/>
    </row>
    <row r="216" spans="1:20" ht="9.9499999999999993" customHeight="1" x14ac:dyDescent="0.15">
      <c r="A216" s="165"/>
      <c r="B216" s="166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Q216" s="168"/>
      <c r="R216" s="168"/>
      <c r="S216" s="169"/>
      <c r="T216" s="168"/>
    </row>
    <row r="217" spans="1:20" ht="9.9499999999999993" customHeight="1" x14ac:dyDescent="0.15">
      <c r="A217" s="165"/>
      <c r="B217" s="166"/>
      <c r="D217" s="168"/>
      <c r="E217" s="168"/>
      <c r="F217" s="168"/>
      <c r="G217" s="168"/>
      <c r="H217" s="168"/>
      <c r="I217" s="168"/>
      <c r="J217" s="168"/>
      <c r="K217" s="168"/>
      <c r="L217" s="168"/>
      <c r="N217" s="168"/>
      <c r="O217" s="168"/>
      <c r="Q217" s="168"/>
      <c r="R217" s="168"/>
      <c r="S217" s="169"/>
      <c r="T217" s="168"/>
    </row>
    <row r="218" spans="1:20" ht="9.9499999999999993" customHeight="1" x14ac:dyDescent="0.15">
      <c r="M218" s="168"/>
      <c r="S218" s="169"/>
    </row>
    <row r="219" spans="1:20" ht="9.9499999999999993" customHeight="1" x14ac:dyDescent="0.15">
      <c r="A219" s="165"/>
      <c r="B219" s="166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Q219" s="168"/>
      <c r="R219" s="168"/>
      <c r="S219" s="169"/>
      <c r="T219" s="168"/>
    </row>
    <row r="220" spans="1:20" ht="9.9499999999999993" customHeight="1" x14ac:dyDescent="0.15">
      <c r="A220" s="165"/>
      <c r="B220" s="166"/>
      <c r="D220" s="168"/>
      <c r="E220" s="168"/>
      <c r="F220" s="168"/>
      <c r="G220" s="168"/>
      <c r="H220" s="168"/>
      <c r="I220" s="168"/>
      <c r="J220" s="168"/>
      <c r="K220" s="168"/>
      <c r="L220" s="168"/>
      <c r="N220" s="168"/>
      <c r="O220" s="168"/>
      <c r="Q220" s="168"/>
      <c r="R220" s="168"/>
      <c r="S220" s="169"/>
      <c r="T220" s="168"/>
    </row>
    <row r="221" spans="1:20" ht="9.9499999999999993" customHeight="1" x14ac:dyDescent="0.15">
      <c r="M221" s="168"/>
      <c r="S221" s="169"/>
      <c r="T221" s="168"/>
    </row>
    <row r="222" spans="1:20" ht="9.9499999999999993" customHeight="1" x14ac:dyDescent="0.15">
      <c r="A222" s="165"/>
      <c r="B222" s="171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Q222" s="168"/>
      <c r="R222" s="168"/>
      <c r="S222" s="169"/>
    </row>
    <row r="223" spans="1:20" ht="9.9499999999999993" customHeight="1" x14ac:dyDescent="0.15">
      <c r="A223" s="165"/>
      <c r="B223" s="171"/>
      <c r="D223" s="168"/>
      <c r="E223" s="168"/>
      <c r="F223" s="168"/>
      <c r="G223" s="168"/>
      <c r="H223" s="168"/>
      <c r="I223" s="168"/>
      <c r="J223" s="168"/>
      <c r="K223" s="168"/>
      <c r="L223" s="168"/>
      <c r="N223" s="168"/>
      <c r="O223" s="168"/>
      <c r="Q223" s="168"/>
      <c r="R223" s="168"/>
      <c r="S223" s="169"/>
      <c r="T223" s="168"/>
    </row>
    <row r="224" spans="1:20" ht="9.9499999999999993" customHeight="1" x14ac:dyDescent="0.15">
      <c r="M224" s="168"/>
      <c r="S224" s="169"/>
      <c r="T224" s="168"/>
    </row>
    <row r="225" spans="1:20" ht="9.9499999999999993" customHeight="1" x14ac:dyDescent="0.15">
      <c r="A225" s="165"/>
      <c r="B225" s="166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Q225" s="168"/>
      <c r="R225" s="168"/>
      <c r="S225" s="169"/>
      <c r="T225" s="168"/>
    </row>
    <row r="226" spans="1:20" ht="9.9499999999999993" customHeight="1" x14ac:dyDescent="0.15">
      <c r="A226" s="165"/>
      <c r="B226" s="166"/>
      <c r="D226" s="168"/>
      <c r="E226" s="168"/>
      <c r="F226" s="168"/>
      <c r="G226" s="168"/>
      <c r="H226" s="168"/>
      <c r="I226" s="168"/>
      <c r="J226" s="168"/>
      <c r="K226" s="168"/>
      <c r="L226" s="168"/>
      <c r="N226" s="168"/>
      <c r="O226" s="168"/>
      <c r="Q226" s="168"/>
      <c r="R226" s="168"/>
      <c r="S226" s="169"/>
    </row>
    <row r="227" spans="1:20" ht="9.9499999999999993" customHeight="1" x14ac:dyDescent="0.15">
      <c r="M227" s="168"/>
      <c r="S227" s="169"/>
      <c r="T227" s="168"/>
    </row>
    <row r="228" spans="1:20" ht="9.9499999999999993" customHeight="1" x14ac:dyDescent="0.15">
      <c r="A228" s="165"/>
      <c r="B228" s="166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Q228" s="168"/>
      <c r="R228" s="168"/>
      <c r="S228" s="169"/>
      <c r="T228" s="168"/>
    </row>
    <row r="229" spans="1:20" ht="9.9499999999999993" customHeight="1" x14ac:dyDescent="0.15">
      <c r="A229" s="165"/>
      <c r="B229" s="166"/>
      <c r="D229" s="168"/>
      <c r="E229" s="168"/>
      <c r="F229" s="168"/>
      <c r="G229" s="168"/>
      <c r="H229" s="168"/>
      <c r="I229" s="168"/>
      <c r="J229" s="168"/>
      <c r="K229" s="168"/>
      <c r="L229" s="168"/>
      <c r="N229" s="168"/>
      <c r="O229" s="168"/>
      <c r="Q229" s="168"/>
      <c r="R229" s="168"/>
      <c r="S229" s="169"/>
      <c r="T229" s="168"/>
    </row>
    <row r="230" spans="1:20" ht="9.9499999999999993" customHeight="1" x14ac:dyDescent="0.15">
      <c r="M230" s="168"/>
      <c r="S230" s="169"/>
    </row>
    <row r="231" spans="1:20" ht="9.9499999999999993" customHeight="1" x14ac:dyDescent="0.15">
      <c r="A231" s="165"/>
      <c r="B231" s="166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Q231" s="168"/>
      <c r="R231" s="168"/>
      <c r="S231" s="169"/>
      <c r="T231" s="168"/>
    </row>
    <row r="232" spans="1:20" ht="9.9499999999999993" customHeight="1" x14ac:dyDescent="0.15">
      <c r="A232" s="165"/>
      <c r="B232" s="166"/>
      <c r="D232" s="168"/>
      <c r="E232" s="168"/>
      <c r="F232" s="168"/>
      <c r="G232" s="168"/>
      <c r="H232" s="168"/>
      <c r="I232" s="168"/>
      <c r="J232" s="168"/>
      <c r="K232" s="168"/>
      <c r="L232" s="168"/>
      <c r="N232" s="168"/>
      <c r="O232" s="168"/>
      <c r="Q232" s="168"/>
      <c r="R232" s="168"/>
      <c r="S232" s="169"/>
      <c r="T232" s="168"/>
    </row>
    <row r="233" spans="1:20" ht="9.9499999999999993" customHeight="1" x14ac:dyDescent="0.15">
      <c r="M233" s="168"/>
      <c r="S233" s="169"/>
      <c r="T233" s="168"/>
    </row>
    <row r="234" spans="1:20" ht="9.9499999999999993" customHeight="1" x14ac:dyDescent="0.15">
      <c r="A234" s="165"/>
      <c r="B234" s="171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Q234" s="168"/>
      <c r="R234" s="168"/>
      <c r="S234" s="169"/>
    </row>
    <row r="235" spans="1:20" ht="9.9499999999999993" customHeight="1" x14ac:dyDescent="0.15">
      <c r="A235" s="165"/>
      <c r="B235" s="171"/>
      <c r="D235" s="168"/>
      <c r="E235" s="168"/>
      <c r="F235" s="168"/>
      <c r="G235" s="168"/>
      <c r="H235" s="168"/>
      <c r="I235" s="168"/>
      <c r="J235" s="168"/>
      <c r="K235" s="168"/>
      <c r="L235" s="168"/>
      <c r="N235" s="168"/>
      <c r="O235" s="168"/>
      <c r="Q235" s="168"/>
      <c r="R235" s="168"/>
      <c r="S235" s="169"/>
      <c r="T235" s="168"/>
    </row>
    <row r="236" spans="1:20" ht="9.9499999999999993" customHeight="1" x14ac:dyDescent="0.15">
      <c r="M236" s="168"/>
      <c r="S236" s="169"/>
      <c r="T236" s="168"/>
    </row>
    <row r="237" spans="1:20" ht="9.9499999999999993" customHeight="1" x14ac:dyDescent="0.15">
      <c r="A237" s="165"/>
      <c r="B237" s="166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Q237" s="168"/>
      <c r="R237" s="168"/>
      <c r="S237" s="169"/>
      <c r="T237" s="168"/>
    </row>
    <row r="238" spans="1:20" ht="9.9499999999999993" customHeight="1" x14ac:dyDescent="0.15">
      <c r="A238" s="165"/>
      <c r="B238" s="166"/>
      <c r="D238" s="168"/>
      <c r="E238" s="168"/>
      <c r="F238" s="168"/>
      <c r="G238" s="168"/>
      <c r="H238" s="168"/>
      <c r="I238" s="168"/>
      <c r="J238" s="168"/>
      <c r="K238" s="168"/>
      <c r="L238" s="168"/>
      <c r="N238" s="168"/>
      <c r="O238" s="168"/>
      <c r="Q238" s="168"/>
      <c r="R238" s="168"/>
      <c r="S238" s="169"/>
    </row>
    <row r="239" spans="1:20" ht="9.9499999999999993" customHeight="1" x14ac:dyDescent="0.15">
      <c r="M239" s="168"/>
      <c r="S239" s="169"/>
      <c r="T239" s="168"/>
    </row>
    <row r="240" spans="1:20" ht="9.9499999999999993" customHeight="1" x14ac:dyDescent="0.15">
      <c r="A240" s="165"/>
      <c r="B240" s="166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Q240" s="168"/>
      <c r="R240" s="168"/>
      <c r="S240" s="169"/>
      <c r="T240" s="168"/>
    </row>
    <row r="241" spans="1:20" ht="9.9499999999999993" customHeight="1" x14ac:dyDescent="0.15">
      <c r="A241" s="165"/>
      <c r="B241" s="166"/>
      <c r="D241" s="168"/>
      <c r="E241" s="168"/>
      <c r="F241" s="168"/>
      <c r="G241" s="168"/>
      <c r="H241" s="168"/>
      <c r="I241" s="168"/>
      <c r="J241" s="168"/>
      <c r="K241" s="168"/>
      <c r="L241" s="168"/>
      <c r="N241" s="168"/>
      <c r="O241" s="168"/>
      <c r="Q241" s="168"/>
      <c r="R241" s="168"/>
      <c r="S241" s="169"/>
      <c r="T241" s="168"/>
    </row>
    <row r="242" spans="1:20" ht="9.9499999999999993" customHeight="1" x14ac:dyDescent="0.15">
      <c r="M242" s="168"/>
      <c r="S242" s="169"/>
    </row>
    <row r="243" spans="1:20" ht="9.9499999999999993" customHeight="1" x14ac:dyDescent="0.15">
      <c r="A243" s="165"/>
      <c r="B243" s="166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Q243" s="168"/>
      <c r="R243" s="168"/>
      <c r="S243" s="169"/>
      <c r="T243" s="168"/>
    </row>
    <row r="244" spans="1:20" ht="9.9499999999999993" customHeight="1" x14ac:dyDescent="0.15">
      <c r="A244" s="165"/>
      <c r="B244" s="166"/>
      <c r="D244" s="168"/>
      <c r="E244" s="168"/>
      <c r="F244" s="168"/>
      <c r="G244" s="168"/>
      <c r="H244" s="168"/>
      <c r="I244" s="168"/>
      <c r="J244" s="168"/>
      <c r="K244" s="168"/>
      <c r="L244" s="168"/>
      <c r="N244" s="168"/>
      <c r="O244" s="168"/>
      <c r="Q244" s="168"/>
      <c r="R244" s="168"/>
      <c r="S244" s="169"/>
      <c r="T244" s="168"/>
    </row>
    <row r="245" spans="1:20" ht="9.9499999999999993" customHeight="1" x14ac:dyDescent="0.15">
      <c r="M245" s="168"/>
      <c r="S245" s="169"/>
      <c r="T245" s="168"/>
    </row>
    <row r="246" spans="1:20" ht="9.9499999999999993" customHeight="1" x14ac:dyDescent="0.15">
      <c r="A246" s="165"/>
      <c r="B246" s="166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Q246" s="168"/>
      <c r="R246" s="168"/>
      <c r="S246" s="169"/>
    </row>
    <row r="247" spans="1:20" ht="9.9499999999999993" customHeight="1" x14ac:dyDescent="0.15">
      <c r="A247" s="165"/>
      <c r="B247" s="166"/>
      <c r="D247" s="168"/>
      <c r="E247" s="168"/>
      <c r="F247" s="168"/>
      <c r="G247" s="168"/>
      <c r="H247" s="168"/>
      <c r="I247" s="168"/>
      <c r="J247" s="168"/>
      <c r="K247" s="168"/>
      <c r="L247" s="168"/>
      <c r="N247" s="168"/>
      <c r="O247" s="168"/>
      <c r="Q247" s="168"/>
      <c r="R247" s="168"/>
      <c r="S247" s="169"/>
      <c r="T247" s="168"/>
    </row>
    <row r="248" spans="1:20" ht="9.9499999999999993" customHeight="1" x14ac:dyDescent="0.15">
      <c r="M248" s="168"/>
      <c r="S248" s="169"/>
      <c r="T248" s="168"/>
    </row>
    <row r="249" spans="1:20" ht="9.9499999999999993" customHeight="1" x14ac:dyDescent="0.15">
      <c r="A249" s="165"/>
      <c r="B249" s="166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Q249" s="168"/>
      <c r="R249" s="168"/>
      <c r="S249" s="169"/>
      <c r="T249" s="168"/>
    </row>
    <row r="250" spans="1:20" ht="9.9499999999999993" customHeight="1" x14ac:dyDescent="0.15">
      <c r="A250" s="165"/>
      <c r="B250" s="166"/>
      <c r="D250" s="168"/>
      <c r="E250" s="168"/>
      <c r="F250" s="168"/>
      <c r="G250" s="168"/>
      <c r="H250" s="168"/>
      <c r="I250" s="168"/>
      <c r="J250" s="168"/>
      <c r="K250" s="168"/>
      <c r="L250" s="168"/>
      <c r="N250" s="168"/>
      <c r="O250" s="168"/>
      <c r="Q250" s="168"/>
      <c r="R250" s="168"/>
      <c r="S250" s="169"/>
    </row>
    <row r="251" spans="1:20" ht="9.9499999999999993" customHeight="1" x14ac:dyDescent="0.15">
      <c r="M251" s="168"/>
      <c r="S251" s="169"/>
      <c r="T251" s="168"/>
    </row>
    <row r="252" spans="1:20" ht="9.9499999999999993" customHeight="1" x14ac:dyDescent="0.15">
      <c r="A252" s="165"/>
      <c r="B252" s="166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Q252" s="168"/>
      <c r="R252" s="168"/>
      <c r="S252" s="169"/>
      <c r="T252" s="168"/>
    </row>
    <row r="253" spans="1:20" ht="9.9499999999999993" customHeight="1" x14ac:dyDescent="0.15">
      <c r="A253" s="165"/>
      <c r="B253" s="166"/>
      <c r="D253" s="168"/>
      <c r="E253" s="168"/>
      <c r="F253" s="168"/>
      <c r="G253" s="168"/>
      <c r="H253" s="168"/>
      <c r="I253" s="168"/>
      <c r="J253" s="168"/>
      <c r="K253" s="168"/>
      <c r="L253" s="168"/>
      <c r="N253" s="168"/>
      <c r="O253" s="168"/>
      <c r="Q253" s="168"/>
      <c r="R253" s="168"/>
      <c r="S253" s="169"/>
      <c r="T253" s="168"/>
    </row>
    <row r="254" spans="1:20" ht="9.9499999999999993" customHeight="1" x14ac:dyDescent="0.15">
      <c r="M254" s="168"/>
      <c r="S254" s="169"/>
    </row>
    <row r="255" spans="1:20" ht="9.9499999999999993" customHeight="1" x14ac:dyDescent="0.15">
      <c r="A255" s="165"/>
      <c r="B255" s="166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Q255" s="168"/>
      <c r="R255" s="168"/>
      <c r="S255" s="169"/>
      <c r="T255" s="168"/>
    </row>
    <row r="256" spans="1:20" ht="9.9499999999999993" customHeight="1" x14ac:dyDescent="0.15">
      <c r="A256" s="165"/>
      <c r="B256" s="166"/>
      <c r="D256" s="168"/>
      <c r="E256" s="168"/>
      <c r="F256" s="168"/>
      <c r="G256" s="168"/>
      <c r="H256" s="168"/>
      <c r="I256" s="168"/>
      <c r="J256" s="168"/>
      <c r="K256" s="168"/>
      <c r="L256" s="168"/>
      <c r="N256" s="168"/>
      <c r="O256" s="168"/>
      <c r="Q256" s="168"/>
      <c r="R256" s="168"/>
      <c r="S256" s="169"/>
      <c r="T256" s="168"/>
    </row>
    <row r="257" spans="1:20" ht="9.9499999999999993" customHeight="1" x14ac:dyDescent="0.15">
      <c r="M257" s="168"/>
      <c r="S257" s="169"/>
      <c r="T257" s="168"/>
    </row>
    <row r="258" spans="1:20" ht="9.9499999999999993" customHeight="1" x14ac:dyDescent="0.15">
      <c r="A258" s="165"/>
      <c r="B258" s="171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Q258" s="168"/>
      <c r="R258" s="168"/>
      <c r="S258" s="169"/>
    </row>
    <row r="259" spans="1:20" ht="9.9499999999999993" customHeight="1" x14ac:dyDescent="0.15">
      <c r="A259" s="165"/>
      <c r="B259" s="171"/>
      <c r="D259" s="168"/>
      <c r="E259" s="168"/>
      <c r="F259" s="168"/>
      <c r="G259" s="168"/>
      <c r="H259" s="168"/>
      <c r="I259" s="168"/>
      <c r="J259" s="168"/>
      <c r="K259" s="168"/>
      <c r="L259" s="168"/>
      <c r="N259" s="168"/>
      <c r="O259" s="168"/>
      <c r="Q259" s="168"/>
      <c r="R259" s="168"/>
      <c r="S259" s="169"/>
      <c r="T259" s="168"/>
    </row>
    <row r="260" spans="1:20" ht="9.9499999999999993" customHeight="1" x14ac:dyDescent="0.15">
      <c r="M260" s="168"/>
      <c r="S260" s="169"/>
      <c r="T260" s="168"/>
    </row>
    <row r="261" spans="1:20" ht="9.9499999999999993" customHeight="1" x14ac:dyDescent="0.15">
      <c r="A261" s="165"/>
      <c r="B261" s="166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Q261" s="168"/>
      <c r="R261" s="168"/>
      <c r="S261" s="169"/>
      <c r="T261" s="168"/>
    </row>
    <row r="262" spans="1:20" ht="9.9499999999999993" customHeight="1" x14ac:dyDescent="0.15">
      <c r="A262" s="165"/>
      <c r="B262" s="166"/>
      <c r="D262" s="168"/>
      <c r="E262" s="168"/>
      <c r="F262" s="168"/>
      <c r="G262" s="168"/>
      <c r="H262" s="168"/>
      <c r="I262" s="168"/>
      <c r="J262" s="168"/>
      <c r="K262" s="168"/>
      <c r="L262" s="168"/>
      <c r="N262" s="168"/>
      <c r="O262" s="168"/>
      <c r="Q262" s="168"/>
      <c r="R262" s="168"/>
      <c r="S262" s="169"/>
    </row>
    <row r="263" spans="1:20" ht="9.9499999999999993" customHeight="1" x14ac:dyDescent="0.15">
      <c r="M263" s="168"/>
      <c r="S263" s="169"/>
      <c r="T263" s="168"/>
    </row>
    <row r="264" spans="1:20" ht="9.9499999999999993" customHeight="1" x14ac:dyDescent="0.15">
      <c r="A264" s="165"/>
      <c r="B264" s="166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Q264" s="168"/>
      <c r="R264" s="168"/>
      <c r="S264" s="169"/>
      <c r="T264" s="168"/>
    </row>
    <row r="265" spans="1:20" ht="9.9499999999999993" customHeight="1" x14ac:dyDescent="0.15">
      <c r="A265" s="165"/>
      <c r="B265" s="166"/>
      <c r="D265" s="168"/>
      <c r="E265" s="168"/>
      <c r="F265" s="168"/>
      <c r="G265" s="168"/>
      <c r="H265" s="168"/>
      <c r="I265" s="168"/>
      <c r="J265" s="168"/>
      <c r="K265" s="168"/>
      <c r="L265" s="168"/>
      <c r="N265" s="168"/>
      <c r="O265" s="168"/>
      <c r="Q265" s="168"/>
      <c r="R265" s="168"/>
      <c r="S265" s="169"/>
      <c r="T265" s="168"/>
    </row>
    <row r="266" spans="1:20" ht="9.9499999999999993" customHeight="1" x14ac:dyDescent="0.15">
      <c r="M266" s="168"/>
      <c r="S266" s="169"/>
    </row>
    <row r="267" spans="1:20" ht="9.9499999999999993" customHeight="1" x14ac:dyDescent="0.15">
      <c r="A267" s="165"/>
      <c r="B267" s="166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Q267" s="168"/>
      <c r="R267" s="168"/>
      <c r="S267" s="169"/>
      <c r="T267" s="168"/>
    </row>
    <row r="268" spans="1:20" ht="9.9499999999999993" customHeight="1" x14ac:dyDescent="0.15">
      <c r="A268" s="165"/>
      <c r="B268" s="166"/>
      <c r="D268" s="168"/>
      <c r="E268" s="168"/>
      <c r="F268" s="168"/>
      <c r="G268" s="168"/>
      <c r="H268" s="168"/>
      <c r="I268" s="168"/>
      <c r="J268" s="168"/>
      <c r="K268" s="168"/>
      <c r="L268" s="168"/>
      <c r="N268" s="168"/>
      <c r="O268" s="168"/>
      <c r="Q268" s="168"/>
      <c r="R268" s="168"/>
      <c r="S268" s="169"/>
      <c r="T268" s="168"/>
    </row>
    <row r="269" spans="1:20" ht="9.9499999999999993" customHeight="1" x14ac:dyDescent="0.15">
      <c r="M269" s="168"/>
      <c r="S269" s="169"/>
      <c r="T269" s="168"/>
    </row>
    <row r="270" spans="1:20" ht="9.9499999999999993" customHeight="1" x14ac:dyDescent="0.15">
      <c r="A270" s="165"/>
      <c r="B270" s="171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Q270" s="168"/>
      <c r="R270" s="168"/>
      <c r="S270" s="169"/>
    </row>
    <row r="271" spans="1:20" ht="9.9499999999999993" customHeight="1" x14ac:dyDescent="0.15">
      <c r="A271" s="165"/>
      <c r="B271" s="171"/>
      <c r="D271" s="168"/>
      <c r="E271" s="168"/>
      <c r="F271" s="168"/>
      <c r="G271" s="168"/>
      <c r="H271" s="168"/>
      <c r="I271" s="168"/>
      <c r="J271" s="168"/>
      <c r="K271" s="168"/>
      <c r="L271" s="168"/>
      <c r="N271" s="168"/>
      <c r="O271" s="168"/>
      <c r="Q271" s="168"/>
      <c r="R271" s="168"/>
      <c r="S271" s="169"/>
      <c r="T271" s="168"/>
    </row>
    <row r="272" spans="1:20" ht="9.9499999999999993" customHeight="1" x14ac:dyDescent="0.15">
      <c r="M272" s="168"/>
      <c r="S272" s="169"/>
      <c r="T272" s="168"/>
    </row>
    <row r="273" spans="1:20" ht="9.9499999999999993" customHeight="1" x14ac:dyDescent="0.15">
      <c r="A273" s="165"/>
      <c r="B273" s="166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Q273" s="168"/>
      <c r="R273" s="168"/>
      <c r="S273" s="169"/>
      <c r="T273" s="168"/>
    </row>
    <row r="274" spans="1:20" ht="9.9499999999999993" customHeight="1" x14ac:dyDescent="0.15">
      <c r="A274" s="165"/>
      <c r="B274" s="166"/>
      <c r="D274" s="168"/>
      <c r="E274" s="168"/>
      <c r="F274" s="168"/>
      <c r="G274" s="168"/>
      <c r="H274" s="168"/>
      <c r="I274" s="168"/>
      <c r="J274" s="168"/>
      <c r="K274" s="168"/>
      <c r="L274" s="168"/>
      <c r="N274" s="168"/>
      <c r="O274" s="168"/>
      <c r="Q274" s="168"/>
      <c r="R274" s="168"/>
      <c r="S274" s="169"/>
    </row>
    <row r="275" spans="1:20" ht="9.9499999999999993" customHeight="1" x14ac:dyDescent="0.15">
      <c r="M275" s="168"/>
      <c r="S275" s="169"/>
      <c r="T275" s="168"/>
    </row>
    <row r="276" spans="1:20" ht="9.9499999999999993" customHeight="1" x14ac:dyDescent="0.15">
      <c r="A276" s="165"/>
      <c r="B276" s="166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Q276" s="168"/>
      <c r="R276" s="168"/>
      <c r="S276" s="169"/>
      <c r="T276" s="168"/>
    </row>
    <row r="277" spans="1:20" ht="9.9499999999999993" customHeight="1" x14ac:dyDescent="0.15">
      <c r="A277" s="165"/>
      <c r="B277" s="166"/>
      <c r="D277" s="168"/>
      <c r="E277" s="168"/>
      <c r="F277" s="168"/>
      <c r="G277" s="168"/>
      <c r="H277" s="168"/>
      <c r="I277" s="168"/>
      <c r="J277" s="168"/>
      <c r="K277" s="168"/>
      <c r="L277" s="168"/>
      <c r="N277" s="168"/>
      <c r="O277" s="168"/>
      <c r="Q277" s="168"/>
      <c r="R277" s="168"/>
      <c r="S277" s="169"/>
      <c r="T277" s="168"/>
    </row>
    <row r="278" spans="1:20" ht="9.9499999999999993" customHeight="1" x14ac:dyDescent="0.15">
      <c r="M278" s="168"/>
      <c r="S278" s="169"/>
    </row>
    <row r="279" spans="1:20" ht="9.9499999999999993" customHeight="1" x14ac:dyDescent="0.15">
      <c r="A279" s="165"/>
      <c r="B279" s="166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Q279" s="168"/>
      <c r="R279" s="168"/>
      <c r="S279" s="169"/>
      <c r="T279" s="168"/>
    </row>
    <row r="280" spans="1:20" ht="9.9499999999999993" customHeight="1" x14ac:dyDescent="0.15">
      <c r="A280" s="165"/>
      <c r="B280" s="166"/>
      <c r="D280" s="168"/>
      <c r="E280" s="168"/>
      <c r="F280" s="168"/>
      <c r="G280" s="168"/>
      <c r="H280" s="168"/>
      <c r="I280" s="168"/>
      <c r="J280" s="168"/>
      <c r="K280" s="168"/>
      <c r="L280" s="168"/>
      <c r="N280" s="168"/>
      <c r="O280" s="168"/>
      <c r="Q280" s="168"/>
      <c r="R280" s="168"/>
      <c r="S280" s="169"/>
      <c r="T280" s="168"/>
    </row>
    <row r="281" spans="1:20" ht="9.9499999999999993" customHeight="1" x14ac:dyDescent="0.15">
      <c r="M281" s="168"/>
      <c r="S281" s="169"/>
      <c r="T281" s="168"/>
    </row>
    <row r="282" spans="1:20" ht="9.9499999999999993" customHeight="1" x14ac:dyDescent="0.15">
      <c r="A282" s="165"/>
      <c r="B282" s="166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Q282" s="168"/>
      <c r="R282" s="168"/>
      <c r="S282" s="169"/>
    </row>
    <row r="283" spans="1:20" ht="9.9499999999999993" customHeight="1" x14ac:dyDescent="0.15">
      <c r="A283" s="165"/>
      <c r="B283" s="166"/>
      <c r="D283" s="168"/>
      <c r="E283" s="168"/>
      <c r="F283" s="168"/>
      <c r="G283" s="168"/>
      <c r="H283" s="168"/>
      <c r="I283" s="168"/>
      <c r="J283" s="168"/>
      <c r="K283" s="168"/>
      <c r="L283" s="168"/>
      <c r="N283" s="168"/>
      <c r="O283" s="168"/>
      <c r="Q283" s="168"/>
      <c r="R283" s="168"/>
      <c r="S283" s="169"/>
      <c r="T283" s="168"/>
    </row>
    <row r="284" spans="1:20" ht="9.9499999999999993" customHeight="1" x14ac:dyDescent="0.15">
      <c r="M284" s="168"/>
      <c r="S284" s="169"/>
      <c r="T284" s="168"/>
    </row>
    <row r="285" spans="1:20" ht="9.9499999999999993" customHeight="1" x14ac:dyDescent="0.15">
      <c r="A285" s="165"/>
      <c r="B285" s="171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Q285" s="168"/>
      <c r="R285" s="168"/>
      <c r="S285" s="169"/>
      <c r="T285" s="168"/>
    </row>
    <row r="286" spans="1:20" ht="9.9499999999999993" customHeight="1" x14ac:dyDescent="0.15">
      <c r="A286" s="165"/>
      <c r="B286" s="171"/>
      <c r="D286" s="168"/>
      <c r="E286" s="168"/>
      <c r="F286" s="168"/>
      <c r="G286" s="168"/>
      <c r="H286" s="168"/>
      <c r="I286" s="168"/>
      <c r="J286" s="168"/>
      <c r="K286" s="168"/>
      <c r="L286" s="168"/>
      <c r="N286" s="168"/>
      <c r="O286" s="168"/>
      <c r="Q286" s="168"/>
      <c r="R286" s="168"/>
      <c r="S286" s="169"/>
    </row>
    <row r="287" spans="1:20" ht="9.9499999999999993" customHeight="1" x14ac:dyDescent="0.15">
      <c r="M287" s="168"/>
      <c r="S287" s="169"/>
      <c r="T287" s="168"/>
    </row>
    <row r="288" spans="1:20" ht="9.9499999999999993" customHeight="1" x14ac:dyDescent="0.15">
      <c r="A288" s="165"/>
      <c r="B288" s="166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Q288" s="168"/>
      <c r="R288" s="168"/>
      <c r="S288" s="169"/>
      <c r="T288" s="168"/>
    </row>
    <row r="289" spans="1:20" ht="9.9499999999999993" customHeight="1" x14ac:dyDescent="0.15">
      <c r="A289" s="165"/>
      <c r="B289" s="166"/>
      <c r="D289" s="168"/>
      <c r="E289" s="168"/>
      <c r="F289" s="168"/>
      <c r="G289" s="168"/>
      <c r="H289" s="168"/>
      <c r="I289" s="168"/>
      <c r="J289" s="168"/>
      <c r="K289" s="168"/>
      <c r="L289" s="168"/>
      <c r="N289" s="168"/>
      <c r="O289" s="168"/>
      <c r="Q289" s="168"/>
      <c r="R289" s="168"/>
      <c r="S289" s="169"/>
      <c r="T289" s="168"/>
    </row>
    <row r="290" spans="1:20" ht="9.9499999999999993" customHeight="1" x14ac:dyDescent="0.15">
      <c r="M290" s="168"/>
      <c r="S290" s="169"/>
    </row>
    <row r="291" spans="1:20" ht="9.9499999999999993" customHeight="1" x14ac:dyDescent="0.15">
      <c r="A291" s="165"/>
      <c r="B291" s="166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Q291" s="168"/>
      <c r="R291" s="168"/>
      <c r="S291" s="169"/>
      <c r="T291" s="168"/>
    </row>
    <row r="292" spans="1:20" ht="9.9499999999999993" customHeight="1" x14ac:dyDescent="0.15">
      <c r="A292" s="165"/>
      <c r="B292" s="166"/>
      <c r="D292" s="168"/>
      <c r="E292" s="168"/>
      <c r="F292" s="168"/>
      <c r="G292" s="168"/>
      <c r="H292" s="168"/>
      <c r="I292" s="168"/>
      <c r="J292" s="168"/>
      <c r="K292" s="168"/>
      <c r="L292" s="168"/>
      <c r="N292" s="168"/>
      <c r="O292" s="168"/>
      <c r="Q292" s="168"/>
      <c r="R292" s="168"/>
      <c r="S292" s="169"/>
      <c r="T292" s="168"/>
    </row>
    <row r="293" spans="1:20" ht="9.9499999999999993" customHeight="1" x14ac:dyDescent="0.15">
      <c r="M293" s="168"/>
      <c r="S293" s="169"/>
      <c r="T293" s="168"/>
    </row>
    <row r="294" spans="1:20" ht="9.9499999999999993" customHeight="1" x14ac:dyDescent="0.15">
      <c r="A294" s="165"/>
      <c r="B294" s="166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Q294" s="168"/>
      <c r="R294" s="168"/>
      <c r="S294" s="169"/>
    </row>
    <row r="295" spans="1:20" ht="9.9499999999999993" customHeight="1" x14ac:dyDescent="0.15">
      <c r="A295" s="165"/>
      <c r="B295" s="166"/>
      <c r="D295" s="168"/>
      <c r="E295" s="168"/>
      <c r="F295" s="168"/>
      <c r="G295" s="168"/>
      <c r="H295" s="168"/>
      <c r="I295" s="168"/>
      <c r="J295" s="168"/>
      <c r="K295" s="168"/>
      <c r="L295" s="168"/>
      <c r="N295" s="168"/>
      <c r="O295" s="168"/>
      <c r="Q295" s="168"/>
      <c r="R295" s="168"/>
      <c r="S295" s="169"/>
      <c r="T295" s="168"/>
    </row>
    <row r="296" spans="1:20" ht="9.9499999999999993" customHeight="1" x14ac:dyDescent="0.15">
      <c r="M296" s="168"/>
      <c r="S296" s="169"/>
      <c r="T296" s="168"/>
    </row>
    <row r="297" spans="1:20" ht="9.9499999999999993" customHeight="1" x14ac:dyDescent="0.15">
      <c r="A297" s="165"/>
      <c r="B297" s="166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Q297" s="168"/>
      <c r="R297" s="168"/>
      <c r="S297" s="169"/>
      <c r="T297" s="168"/>
    </row>
    <row r="298" spans="1:20" ht="9.9499999999999993" customHeight="1" x14ac:dyDescent="0.15">
      <c r="A298" s="165"/>
      <c r="B298" s="166"/>
      <c r="D298" s="168"/>
      <c r="E298" s="168"/>
      <c r="F298" s="168"/>
      <c r="G298" s="168"/>
      <c r="H298" s="168"/>
      <c r="I298" s="168"/>
      <c r="J298" s="168"/>
      <c r="K298" s="168"/>
      <c r="L298" s="168"/>
      <c r="M298" s="179"/>
      <c r="N298" s="168"/>
      <c r="O298" s="168"/>
      <c r="Q298" s="168"/>
      <c r="R298" s="168"/>
      <c r="S298" s="169"/>
    </row>
    <row r="299" spans="1:20" ht="9.9499999999999993" customHeight="1" x14ac:dyDescent="0.15">
      <c r="C299" s="179"/>
      <c r="D299" s="179"/>
      <c r="E299" s="179"/>
      <c r="F299" s="179"/>
      <c r="G299" s="179"/>
      <c r="H299" s="179"/>
      <c r="I299" s="179"/>
      <c r="J299" s="179"/>
      <c r="K299" s="180"/>
      <c r="L299" s="179"/>
      <c r="M299" s="181"/>
      <c r="N299" s="179"/>
      <c r="O299" s="179"/>
      <c r="Q299" s="179"/>
      <c r="R299" s="179"/>
      <c r="S299" s="169"/>
      <c r="T299" s="168"/>
    </row>
    <row r="300" spans="1:20" ht="9.9499999999999993" customHeight="1" x14ac:dyDescent="0.15">
      <c r="B300" s="175"/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Q300" s="181"/>
      <c r="R300" s="181"/>
      <c r="S300" s="169"/>
      <c r="T300" s="168"/>
    </row>
    <row r="301" spans="1:20" ht="9.9499999999999993" customHeight="1" x14ac:dyDescent="0.15">
      <c r="B301" s="175"/>
      <c r="D301" s="181"/>
      <c r="E301" s="181"/>
      <c r="F301" s="181"/>
      <c r="G301" s="181"/>
      <c r="H301" s="181"/>
      <c r="I301" s="181"/>
      <c r="J301" s="181"/>
      <c r="K301" s="181"/>
      <c r="L301" s="181"/>
      <c r="N301" s="181"/>
      <c r="O301" s="181"/>
      <c r="Q301" s="181"/>
      <c r="R301" s="181"/>
      <c r="S301" s="169"/>
      <c r="T301" s="168"/>
    </row>
    <row r="302" spans="1:20" ht="9.9499999999999993" customHeight="1" x14ac:dyDescent="0.15"/>
    <row r="303" spans="1:20" ht="9.9499999999999993" customHeight="1" x14ac:dyDescent="0.15">
      <c r="S303" s="169"/>
      <c r="T303" s="168"/>
    </row>
    <row r="304" spans="1:20" ht="9.9499999999999993" customHeight="1" x14ac:dyDescent="0.15">
      <c r="S304" s="169"/>
      <c r="T304" s="168"/>
    </row>
    <row r="305" spans="19:20" ht="9.9499999999999993" customHeight="1" x14ac:dyDescent="0.15">
      <c r="S305" s="169"/>
      <c r="T305" s="168"/>
    </row>
    <row r="306" spans="19:20" ht="9.9499999999999993" customHeight="1" x14ac:dyDescent="0.15"/>
    <row r="307" spans="19:20" ht="9.9499999999999993" customHeight="1" x14ac:dyDescent="0.15">
      <c r="S307" s="169"/>
      <c r="T307" s="168"/>
    </row>
    <row r="308" spans="19:20" x14ac:dyDescent="0.15">
      <c r="S308" s="182"/>
      <c r="T308" s="181"/>
    </row>
    <row r="309" spans="19:20" x14ac:dyDescent="0.15">
      <c r="S309" s="182"/>
      <c r="T309" s="181"/>
    </row>
    <row r="310" spans="19:20" x14ac:dyDescent="0.15">
      <c r="S310" s="182"/>
      <c r="T310" s="181"/>
    </row>
  </sheetData>
  <mergeCells count="2">
    <mergeCell ref="B1:O1"/>
    <mergeCell ref="B2:O2"/>
  </mergeCells>
  <pageMargins left="0.2" right="0.2" top="0.2" bottom="0.2" header="0" footer="0"/>
  <pageSetup paperSize="5" orientation="landscape" horizontalDpi="300" verticalDpi="300"/>
  <rowBreaks count="2" manualBreakCount="2">
    <brk id="159" max="16383" man="1"/>
    <brk id="331" max="16383" man="1"/>
    <brk id="3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1"/>
  <sheetViews>
    <sheetView showGridLines="0" topLeftCell="B5" zoomScale="85" zoomScaleNormal="85" workbookViewId="0">
      <selection activeCell="P9" sqref="P9"/>
    </sheetView>
  </sheetViews>
  <sheetFormatPr baseColWidth="10" defaultColWidth="11.42578125" defaultRowHeight="12.75" x14ac:dyDescent="0.2"/>
  <cols>
    <col min="1" max="1" width="9.5703125" style="64" hidden="1" customWidth="1"/>
    <col min="2" max="2" width="2.5703125" style="4" customWidth="1"/>
    <col min="3" max="3" width="71.85546875" style="4" customWidth="1"/>
    <col min="4" max="6" width="24.28515625" style="4" hidden="1" customWidth="1"/>
    <col min="7" max="7" width="14.7109375" style="4" bestFit="1" customWidth="1"/>
    <col min="8" max="8" width="15.7109375" style="4" hidden="1" customWidth="1"/>
    <col min="9" max="9" width="41.5703125" style="4" hidden="1" customWidth="1"/>
    <col min="10" max="10" width="15.7109375" style="107" hidden="1" customWidth="1"/>
    <col min="11" max="11" width="0" style="4" hidden="1" customWidth="1"/>
    <col min="12" max="12" width="15.7109375" style="106" hidden="1" customWidth="1"/>
    <col min="13" max="13" width="14.7109375" style="4" bestFit="1" customWidth="1"/>
    <col min="14" max="15" width="11.42578125" style="4"/>
    <col min="16" max="16" width="13.42578125" style="4" bestFit="1" customWidth="1"/>
    <col min="17" max="16384" width="11.42578125" style="4"/>
  </cols>
  <sheetData>
    <row r="1" spans="1:16" ht="18.75" customHeight="1" x14ac:dyDescent="0.2">
      <c r="F1" s="3"/>
    </row>
    <row r="2" spans="1:16" ht="20.25" customHeight="1" x14ac:dyDescent="0.2">
      <c r="B2" s="130" t="s">
        <v>157</v>
      </c>
      <c r="C2" s="130"/>
      <c r="D2" s="130"/>
      <c r="E2" s="130"/>
      <c r="F2" s="3"/>
    </row>
    <row r="3" spans="1:16" ht="20.25" customHeight="1" x14ac:dyDescent="0.2">
      <c r="B3" s="130" t="s">
        <v>192</v>
      </c>
      <c r="C3" s="130"/>
      <c r="D3" s="130"/>
      <c r="E3" s="130"/>
      <c r="F3" s="3"/>
    </row>
    <row r="4" spans="1:16" ht="12" customHeight="1" x14ac:dyDescent="0.2">
      <c r="B4" s="130" t="s">
        <v>107</v>
      </c>
      <c r="C4" s="130"/>
      <c r="D4" s="130"/>
      <c r="E4" s="130"/>
      <c r="F4" s="3"/>
    </row>
    <row r="5" spans="1:16" ht="20.25" customHeight="1" x14ac:dyDescent="0.2">
      <c r="B5" s="3"/>
      <c r="C5" s="3"/>
      <c r="D5" s="69"/>
      <c r="E5" s="69"/>
      <c r="F5" s="69"/>
      <c r="G5" s="69"/>
    </row>
    <row r="6" spans="1:16" ht="15.75" x14ac:dyDescent="0.2">
      <c r="B6" s="63" t="s">
        <v>48</v>
      </c>
      <c r="C6" s="63"/>
      <c r="D6" s="70"/>
      <c r="E6" s="70"/>
      <c r="F6" s="70"/>
      <c r="G6" s="70"/>
    </row>
    <row r="7" spans="1:16" ht="33" customHeight="1" x14ac:dyDescent="0.2">
      <c r="A7" s="65" t="s">
        <v>47</v>
      </c>
      <c r="B7" s="131" t="s">
        <v>193</v>
      </c>
      <c r="C7" s="131"/>
      <c r="D7" s="5" t="s">
        <v>158</v>
      </c>
      <c r="E7" s="6" t="s">
        <v>49</v>
      </c>
      <c r="F7" s="5" t="s">
        <v>156</v>
      </c>
      <c r="G7" s="5"/>
      <c r="I7" s="4" t="s">
        <v>194</v>
      </c>
    </row>
    <row r="8" spans="1:16" s="7" customFormat="1" ht="19.5" customHeight="1" x14ac:dyDescent="0.25">
      <c r="A8" s="66"/>
      <c r="B8" s="132" t="s">
        <v>50</v>
      </c>
      <c r="C8" s="133"/>
      <c r="D8" s="53" t="e">
        <f>+D9+#REF!+D20+D23+D32+D37+D42+D52+D58+D66</f>
        <v>#REF!</v>
      </c>
      <c r="E8" s="53" t="e">
        <f>+E9+#REF!+E20+E23+E32+E37+E42+E52+E58+E66</f>
        <v>#REF!</v>
      </c>
      <c r="F8" s="53" t="e">
        <f>+F9+#REF!+F20+F23+F32+F37+F42+F52+F58+F66</f>
        <v>#REF!</v>
      </c>
      <c r="G8" s="109">
        <f>+G9+G20+G23+G32+G37+G42+G52+G58+G66</f>
        <v>424483041.97371197</v>
      </c>
      <c r="H8" s="105">
        <f>328394363*1.04</f>
        <v>341530137.52000004</v>
      </c>
      <c r="J8" s="108" t="s">
        <v>46</v>
      </c>
      <c r="L8" s="105"/>
      <c r="N8" s="113" t="s">
        <v>53</v>
      </c>
      <c r="O8" s="114">
        <v>38588548.330000006</v>
      </c>
      <c r="P8" s="120">
        <f>O8*1.04</f>
        <v>40132090.263200007</v>
      </c>
    </row>
    <row r="9" spans="1:16" s="7" customFormat="1" ht="19.5" customHeight="1" x14ac:dyDescent="0.25">
      <c r="A9" s="67">
        <v>1</v>
      </c>
      <c r="B9" s="8" t="s">
        <v>51</v>
      </c>
      <c r="C9" s="9"/>
      <c r="D9" s="10">
        <f>SUM(D10:D19)</f>
        <v>18065052.879999999</v>
      </c>
      <c r="E9" s="10">
        <f t="shared" ref="E9:G9" si="0">SUM(E10:E19)</f>
        <v>1021514807</v>
      </c>
      <c r="F9" s="10">
        <f t="shared" si="0"/>
        <v>16615640.770000003</v>
      </c>
      <c r="G9" s="110">
        <f t="shared" si="0"/>
        <v>45800000</v>
      </c>
      <c r="I9" s="7" t="s">
        <v>104</v>
      </c>
      <c r="J9" s="108">
        <v>18000000</v>
      </c>
      <c r="L9" s="105"/>
      <c r="M9" s="105"/>
      <c r="N9" s="115" t="s">
        <v>199</v>
      </c>
      <c r="O9" s="116">
        <v>22246001.229999997</v>
      </c>
    </row>
    <row r="10" spans="1:16" s="7" customFormat="1" ht="19.5" customHeight="1" x14ac:dyDescent="0.25">
      <c r="A10" s="67">
        <v>11</v>
      </c>
      <c r="B10" s="11"/>
      <c r="C10" s="12" t="s">
        <v>52</v>
      </c>
      <c r="D10" s="13">
        <v>10300</v>
      </c>
      <c r="E10" s="13">
        <v>1087333</v>
      </c>
      <c r="F10" s="13">
        <f>SUMIF('INGRESOS REALES '!$C$4:$C$65,A10,'INGRESOS REALES '!$Q$4:$Q$65)</f>
        <v>0</v>
      </c>
      <c r="G10" s="111">
        <v>0</v>
      </c>
      <c r="I10" s="7" t="s">
        <v>195</v>
      </c>
      <c r="J10" s="108">
        <v>18000000</v>
      </c>
      <c r="L10" s="105"/>
      <c r="N10" s="117" t="s">
        <v>275</v>
      </c>
      <c r="O10" s="116">
        <v>21767782.229999997</v>
      </c>
    </row>
    <row r="11" spans="1:16" s="7" customFormat="1" ht="19.5" customHeight="1" x14ac:dyDescent="0.25">
      <c r="A11" s="67">
        <v>12</v>
      </c>
      <c r="B11" s="11"/>
      <c r="C11" s="12" t="s">
        <v>53</v>
      </c>
      <c r="D11" s="13">
        <v>16053400</v>
      </c>
      <c r="E11" s="13">
        <v>1014188744</v>
      </c>
      <c r="F11" s="13">
        <f>SUMIF('INGRESOS REALES '!$C$4:$C$65,A11,'INGRESOS REALES '!$Q$4:$Q$65)</f>
        <v>4008481.77</v>
      </c>
      <c r="G11" s="111">
        <v>42300000</v>
      </c>
      <c r="I11" s="101" t="s">
        <v>52</v>
      </c>
      <c r="J11" s="108"/>
      <c r="L11" s="105"/>
      <c r="N11" s="117" t="s">
        <v>276</v>
      </c>
      <c r="O11" s="116">
        <v>5875455.0000000009</v>
      </c>
    </row>
    <row r="12" spans="1:16" s="7" customFormat="1" ht="19.5" customHeight="1" x14ac:dyDescent="0.25">
      <c r="A12" s="67">
        <v>13</v>
      </c>
      <c r="B12" s="11"/>
      <c r="C12" s="12" t="s">
        <v>54</v>
      </c>
      <c r="D12" s="13">
        <f>SUMIF('INGRESOS REALES '!$C$4:$C$65,A12,'INGRESOS REALES '!$R$4:$R$65)</f>
        <v>0</v>
      </c>
      <c r="E12" s="13">
        <v>0</v>
      </c>
      <c r="F12" s="13">
        <f>SUMIF('INGRESOS REALES '!$C$4:$C$65,A12,'INGRESOS REALES '!$Q$4:$Q$65)</f>
        <v>0</v>
      </c>
      <c r="G12" s="111">
        <f t="shared" ref="G12:G18" si="1">D12*1.04</f>
        <v>0</v>
      </c>
      <c r="I12" s="7" t="s">
        <v>196</v>
      </c>
      <c r="J12" s="108"/>
      <c r="L12" s="105"/>
      <c r="N12" s="117" t="s">
        <v>277</v>
      </c>
      <c r="O12" s="116">
        <v>-3108473.9999999995</v>
      </c>
    </row>
    <row r="13" spans="1:16" s="7" customFormat="1" ht="19.5" customHeight="1" x14ac:dyDescent="0.25">
      <c r="A13" s="67">
        <v>14</v>
      </c>
      <c r="B13" s="11"/>
      <c r="C13" s="12" t="s">
        <v>55</v>
      </c>
      <c r="D13" s="13">
        <f>SUMIF('INGRESOS REALES '!$C$4:$C$65,A13,'INGRESOS REALES '!$R$4:$R$65)</f>
        <v>0</v>
      </c>
      <c r="E13" s="13">
        <v>0</v>
      </c>
      <c r="F13" s="13">
        <f>SUMIF('INGRESOS REALES '!$C$4:$C$65,A13,'INGRESOS REALES '!$Q$4:$Q$65)</f>
        <v>0</v>
      </c>
      <c r="G13" s="111">
        <f t="shared" si="1"/>
        <v>0</v>
      </c>
      <c r="I13" s="7" t="s">
        <v>197</v>
      </c>
      <c r="J13" s="108"/>
      <c r="L13" s="105"/>
      <c r="N13" s="117" t="s">
        <v>278</v>
      </c>
      <c r="O13" s="116">
        <v>-2288762</v>
      </c>
    </row>
    <row r="14" spans="1:16" s="7" customFormat="1" ht="19.5" customHeight="1" x14ac:dyDescent="0.25">
      <c r="A14" s="67">
        <v>15</v>
      </c>
      <c r="B14" s="11"/>
      <c r="C14" s="12" t="s">
        <v>56</v>
      </c>
      <c r="D14" s="13">
        <f>SUMIF('INGRESOS REALES '!$C$4:$C$65,A14,'INGRESOS REALES '!$R$4:$R$65)</f>
        <v>0</v>
      </c>
      <c r="E14" s="13">
        <v>0</v>
      </c>
      <c r="F14" s="13">
        <f>SUMIF('INGRESOS REALES '!$C$4:$C$65,A14,'INGRESOS REALES '!$Q$4:$Q$65)</f>
        <v>0</v>
      </c>
      <c r="G14" s="111">
        <f t="shared" si="1"/>
        <v>0</v>
      </c>
      <c r="I14" s="7" t="s">
        <v>198</v>
      </c>
      <c r="J14" s="108"/>
      <c r="L14" s="105"/>
      <c r="N14" s="115" t="s">
        <v>279</v>
      </c>
      <c r="O14" s="116">
        <v>16342547.1</v>
      </c>
    </row>
    <row r="15" spans="1:16" s="7" customFormat="1" ht="19.5" customHeight="1" x14ac:dyDescent="0.25">
      <c r="A15" s="67">
        <v>16</v>
      </c>
      <c r="B15" s="11"/>
      <c r="C15" s="12" t="s">
        <v>57</v>
      </c>
      <c r="D15" s="13">
        <f>SUMIF('INGRESOS REALES '!$C$4:$C$65,A15,'INGRESOS REALES '!$R$4:$R$65)</f>
        <v>0</v>
      </c>
      <c r="E15" s="13">
        <v>0</v>
      </c>
      <c r="F15" s="13">
        <f>SUMIF('INGRESOS REALES '!$C$4:$C$65,A15,'INGRESOS REALES '!$Q$4:$Q$65)</f>
        <v>0</v>
      </c>
      <c r="G15" s="111">
        <f t="shared" si="1"/>
        <v>0</v>
      </c>
      <c r="I15" s="7" t="s">
        <v>199</v>
      </c>
      <c r="J15" s="108">
        <v>22246001.23</v>
      </c>
      <c r="L15" s="105">
        <f>40660228*1.04</f>
        <v>42286637.120000005</v>
      </c>
      <c r="N15" s="117" t="s">
        <v>280</v>
      </c>
      <c r="O15" s="116">
        <v>20525931.509999998</v>
      </c>
    </row>
    <row r="16" spans="1:16" s="7" customFormat="1" ht="19.5" customHeight="1" x14ac:dyDescent="0.25">
      <c r="A16" s="67">
        <v>17</v>
      </c>
      <c r="B16" s="11"/>
      <c r="C16" s="12" t="s">
        <v>58</v>
      </c>
      <c r="D16" s="13">
        <v>2001352.88</v>
      </c>
      <c r="E16" s="13">
        <v>6238730</v>
      </c>
      <c r="F16" s="13">
        <f>SUMIF('INGRESOS REALES '!$C$4:$C$65,A16,'INGRESOS REALES '!$Q$4:$Q$65)</f>
        <v>12607159.000000004</v>
      </c>
      <c r="G16" s="111">
        <v>3500000</v>
      </c>
      <c r="I16" s="101" t="s">
        <v>200</v>
      </c>
      <c r="J16" s="108">
        <v>21767782.23</v>
      </c>
      <c r="L16" s="105"/>
      <c r="N16" s="117" t="s">
        <v>281</v>
      </c>
      <c r="O16" s="116">
        <v>-4183384.4100000006</v>
      </c>
    </row>
    <row r="17" spans="1:15" s="7" customFormat="1" ht="19.5" customHeight="1" x14ac:dyDescent="0.25">
      <c r="A17" s="67">
        <v>18</v>
      </c>
      <c r="B17" s="14"/>
      <c r="C17" s="15" t="s">
        <v>59</v>
      </c>
      <c r="D17" s="16">
        <f>SUMIF('INGRESOS REALES '!$C$4:$C$65,A17,'INGRESOS REALES '!$R$4:$R$65)</f>
        <v>0</v>
      </c>
      <c r="E17" s="16">
        <v>0</v>
      </c>
      <c r="F17" s="16">
        <f>SUMIF('INGRESOS REALES '!$C$4:$C$65,A17,'INGRESOS REALES '!$Q$4:$Q$65)</f>
        <v>0</v>
      </c>
      <c r="G17" s="111">
        <f t="shared" si="1"/>
        <v>0</v>
      </c>
      <c r="I17" s="7" t="s">
        <v>201</v>
      </c>
      <c r="J17" s="108">
        <v>5875455</v>
      </c>
      <c r="L17" s="105"/>
      <c r="N17" s="113" t="s">
        <v>58</v>
      </c>
      <c r="O17" s="114">
        <v>819553.42000000016</v>
      </c>
    </row>
    <row r="18" spans="1:15" s="7" customFormat="1" ht="19.5" customHeight="1" x14ac:dyDescent="0.25">
      <c r="A18" s="67">
        <v>19</v>
      </c>
      <c r="B18" s="14"/>
      <c r="C18" s="134" t="s">
        <v>60</v>
      </c>
      <c r="D18" s="128">
        <f>SUMIF('INGRESOS REALES '!$C$4:$C$65,A18,'INGRESOS REALES '!$R$4:$R$65)</f>
        <v>0</v>
      </c>
      <c r="E18" s="16"/>
      <c r="F18" s="16">
        <f>SUMIF('INGRESOS REALES '!$C$4:$C$65,A18,'INGRESOS REALES '!$Q$4:$Q$65)</f>
        <v>0</v>
      </c>
      <c r="G18" s="126">
        <f t="shared" si="1"/>
        <v>0</v>
      </c>
      <c r="I18" s="7" t="s">
        <v>202</v>
      </c>
      <c r="J18" s="108">
        <v>2158142</v>
      </c>
      <c r="L18" s="105">
        <f>3400000*1.04</f>
        <v>3536000</v>
      </c>
      <c r="N18" s="115" t="s">
        <v>282</v>
      </c>
      <c r="O18" s="116">
        <v>1166955.4200000002</v>
      </c>
    </row>
    <row r="19" spans="1:15" s="7" customFormat="1" ht="18" x14ac:dyDescent="0.25">
      <c r="A19" s="67"/>
      <c r="B19" s="17"/>
      <c r="C19" s="135"/>
      <c r="D19" s="129"/>
      <c r="E19" s="18">
        <v>0</v>
      </c>
      <c r="F19" s="18">
        <f>SUMIF('INGRESOS REALES '!$C$4:$C$65,A19,'INGRESOS REALES '!$Q$4:$Q$65)</f>
        <v>0</v>
      </c>
      <c r="G19" s="127"/>
      <c r="I19" s="7" t="s">
        <v>203</v>
      </c>
      <c r="J19" s="108">
        <v>2288762</v>
      </c>
      <c r="L19" s="105"/>
      <c r="N19" s="117" t="s">
        <v>283</v>
      </c>
      <c r="O19" s="116">
        <v>744512.00000000012</v>
      </c>
    </row>
    <row r="20" spans="1:15" s="7" customFormat="1" ht="19.5" customHeight="1" x14ac:dyDescent="0.25">
      <c r="A20" s="66">
        <v>3</v>
      </c>
      <c r="B20" s="57" t="s">
        <v>61</v>
      </c>
      <c r="C20" s="58"/>
      <c r="D20" s="59">
        <f>SUM(D21:D22)</f>
        <v>17392</v>
      </c>
      <c r="E20" s="59">
        <f t="shared" ref="E20:G20" si="2">SUM(E21:E22)</f>
        <v>0</v>
      </c>
      <c r="F20" s="59">
        <f t="shared" si="2"/>
        <v>17392</v>
      </c>
      <c r="G20" s="112">
        <f t="shared" si="2"/>
        <v>0</v>
      </c>
      <c r="I20" s="7" t="s">
        <v>204</v>
      </c>
      <c r="J20" s="108">
        <v>16342547.1</v>
      </c>
      <c r="L20" s="105"/>
      <c r="N20" s="117" t="s">
        <v>284</v>
      </c>
      <c r="O20" s="116">
        <v>422443.42</v>
      </c>
    </row>
    <row r="21" spans="1:15" s="7" customFormat="1" ht="19.5" customHeight="1" x14ac:dyDescent="0.25">
      <c r="A21" s="67">
        <v>31</v>
      </c>
      <c r="B21" s="11"/>
      <c r="C21" s="12" t="s">
        <v>62</v>
      </c>
      <c r="D21" s="13">
        <f>'INGRESOS REALES '!Q12</f>
        <v>17392</v>
      </c>
      <c r="E21" s="13">
        <v>0</v>
      </c>
      <c r="F21" s="13">
        <f>SUMIF('INGRESOS REALES '!$C$4:$C$65,A21,'INGRESOS REALES '!$Q$4:$Q$65)</f>
        <v>17392</v>
      </c>
      <c r="G21" s="111">
        <v>0</v>
      </c>
      <c r="I21" s="7" t="s">
        <v>205</v>
      </c>
      <c r="J21" s="108">
        <v>20525931.509999998</v>
      </c>
      <c r="L21" s="105"/>
      <c r="N21" s="117" t="s">
        <v>62</v>
      </c>
      <c r="O21" s="116">
        <v>0</v>
      </c>
    </row>
    <row r="22" spans="1:15" s="7" customFormat="1" ht="19.5" customHeight="1" x14ac:dyDescent="0.25">
      <c r="A22" s="67">
        <v>39</v>
      </c>
      <c r="B22" s="11"/>
      <c r="C22" s="19" t="s">
        <v>63</v>
      </c>
      <c r="D22" s="13">
        <f>SUMIF('INGRESOS REALES '!$C$4:$C$65,A22,'INGRESOS REALES '!$R$4:$R$65)</f>
        <v>0</v>
      </c>
      <c r="E22" s="16">
        <v>0</v>
      </c>
      <c r="F22" s="13">
        <f>SUMIF('INGRESOS REALES '!$C$4:$C$65,A22,'INGRESOS REALES '!$Q$4:$Q$65)</f>
        <v>0</v>
      </c>
      <c r="G22" s="111">
        <f>D22*1.04</f>
        <v>0</v>
      </c>
      <c r="I22" s="7" t="s">
        <v>206</v>
      </c>
      <c r="J22" s="108">
        <v>470496.91000000015</v>
      </c>
      <c r="L22" s="105"/>
      <c r="N22" s="115" t="s">
        <v>210</v>
      </c>
      <c r="O22" s="116">
        <v>0</v>
      </c>
    </row>
    <row r="23" spans="1:15" s="7" customFormat="1" ht="19.5" customHeight="1" x14ac:dyDescent="0.25">
      <c r="A23" s="66">
        <v>4</v>
      </c>
      <c r="B23" s="60" t="s">
        <v>64</v>
      </c>
      <c r="C23" s="61"/>
      <c r="D23" s="104">
        <f>SUM(D24:D31)</f>
        <v>6290635.5699999994</v>
      </c>
      <c r="E23" s="62">
        <f t="shared" ref="E23:G23" si="3">SUM(E24:E31)</f>
        <v>93635712</v>
      </c>
      <c r="F23" s="62">
        <f t="shared" si="3"/>
        <v>6290635.5060000001</v>
      </c>
      <c r="G23" s="112">
        <f t="shared" si="3"/>
        <v>21996697.52</v>
      </c>
      <c r="I23" s="7" t="s">
        <v>58</v>
      </c>
      <c r="J23" s="108"/>
      <c r="L23" s="105"/>
      <c r="N23" s="117" t="s">
        <v>285</v>
      </c>
      <c r="O23" s="116">
        <v>0</v>
      </c>
    </row>
    <row r="24" spans="1:15" s="7" customFormat="1" ht="19.5" customHeight="1" x14ac:dyDescent="0.25">
      <c r="A24" s="67">
        <v>41</v>
      </c>
      <c r="B24" s="14"/>
      <c r="C24" s="15" t="s">
        <v>65</v>
      </c>
      <c r="D24" s="128">
        <v>101695.19</v>
      </c>
      <c r="E24" s="102"/>
      <c r="F24" s="16">
        <f>SUMIF('INGRESOS REALES '!$C$4:$C$65,A24,'INGRESOS REALES '!$Q$4:$Q$65)</f>
        <v>240193.80000000002</v>
      </c>
      <c r="G24" s="126">
        <v>0</v>
      </c>
      <c r="I24" s="7" t="s">
        <v>207</v>
      </c>
      <c r="J24" s="108"/>
      <c r="L24" s="105"/>
      <c r="N24" s="117" t="s">
        <v>212</v>
      </c>
      <c r="O24" s="116">
        <v>0</v>
      </c>
    </row>
    <row r="25" spans="1:15" s="7" customFormat="1" ht="19.5" customHeight="1" x14ac:dyDescent="0.25">
      <c r="A25" s="67"/>
      <c r="B25" s="17"/>
      <c r="C25" s="20" t="s">
        <v>66</v>
      </c>
      <c r="D25" s="129"/>
      <c r="E25" s="103">
        <v>0</v>
      </c>
      <c r="F25" s="18">
        <f>SUMIF('INGRESOS REALES '!$C$4:$C$65,A25,'INGRESOS REALES '!$Q$4:$Q$65)</f>
        <v>0</v>
      </c>
      <c r="G25" s="127"/>
      <c r="I25" s="7" t="s">
        <v>208</v>
      </c>
      <c r="J25" s="108"/>
      <c r="L25" s="105"/>
      <c r="N25" s="115" t="s">
        <v>286</v>
      </c>
      <c r="O25" s="116">
        <v>0</v>
      </c>
    </row>
    <row r="26" spans="1:15" s="7" customFormat="1" ht="19.5" customHeight="1" x14ac:dyDescent="0.25">
      <c r="A26" s="67">
        <v>42</v>
      </c>
      <c r="B26" s="17"/>
      <c r="C26" s="20" t="s">
        <v>67</v>
      </c>
      <c r="D26" s="18">
        <f>SUMIF('INGRESOS REALES '!$C$4:$C$65,A26,'INGRESOS REALES '!$R$4:$R$65)</f>
        <v>0</v>
      </c>
      <c r="E26" s="18">
        <v>0</v>
      </c>
      <c r="F26" s="18">
        <f>SUMIF('INGRESOS REALES '!$C$4:$C$65,A26,'INGRESOS REALES '!$Q$4:$Q$65)</f>
        <v>0</v>
      </c>
      <c r="G26" s="111">
        <f>D26*1.04</f>
        <v>0</v>
      </c>
      <c r="I26" s="7" t="s">
        <v>209</v>
      </c>
      <c r="J26" s="108"/>
      <c r="L26" s="105"/>
      <c r="N26" s="117" t="s">
        <v>287</v>
      </c>
      <c r="O26" s="116">
        <v>0</v>
      </c>
    </row>
    <row r="27" spans="1:15" s="7" customFormat="1" ht="19.5" customHeight="1" x14ac:dyDescent="0.25">
      <c r="A27" s="67">
        <v>43</v>
      </c>
      <c r="B27" s="11"/>
      <c r="C27" s="12" t="s">
        <v>68</v>
      </c>
      <c r="D27" s="13">
        <v>690683.65</v>
      </c>
      <c r="E27" s="13">
        <v>42179938</v>
      </c>
      <c r="F27" s="13">
        <f>SUMIF('INGRESOS REALES '!$C$4:$C$65,A27,'INGRESOS REALES '!$Q$4:$Q$65)</f>
        <v>2722551.3360000001</v>
      </c>
      <c r="G27" s="111">
        <f>20958363*1.04</f>
        <v>21796697.52</v>
      </c>
      <c r="I27" s="7" t="s">
        <v>62</v>
      </c>
      <c r="J27" s="108">
        <v>0</v>
      </c>
      <c r="L27" s="105"/>
      <c r="N27" s="113" t="s">
        <v>68</v>
      </c>
      <c r="O27" s="114">
        <v>19187002.829999994</v>
      </c>
    </row>
    <row r="28" spans="1:15" s="7" customFormat="1" ht="18" x14ac:dyDescent="0.25">
      <c r="A28" s="67">
        <v>44</v>
      </c>
      <c r="B28" s="11"/>
      <c r="C28" s="12" t="s">
        <v>69</v>
      </c>
      <c r="D28" s="13">
        <v>5492480.7699999996</v>
      </c>
      <c r="E28" s="13">
        <v>50109748</v>
      </c>
      <c r="F28" s="13">
        <f>SUMIF('INGRESOS REALES '!$C$4:$C$65,A28,'INGRESOS REALES '!$Q$4:$Q$65)</f>
        <v>2199402.8119999999</v>
      </c>
      <c r="G28" s="111">
        <v>100000</v>
      </c>
      <c r="I28" s="7" t="s">
        <v>210</v>
      </c>
      <c r="J28" s="108">
        <v>0</v>
      </c>
      <c r="L28" s="105"/>
      <c r="N28" s="115" t="s">
        <v>288</v>
      </c>
      <c r="O28" s="116">
        <v>0</v>
      </c>
    </row>
    <row r="29" spans="1:15" s="7" customFormat="1" ht="19.5" customHeight="1" x14ac:dyDescent="0.25">
      <c r="A29" s="67">
        <v>45</v>
      </c>
      <c r="B29" s="14"/>
      <c r="C29" s="15" t="s">
        <v>268</v>
      </c>
      <c r="D29" s="16">
        <v>5775.96</v>
      </c>
      <c r="E29" s="13">
        <v>1346026</v>
      </c>
      <c r="F29" s="16">
        <f>SUMIF('INGRESOS REALES '!$C$4:$C$65,A29,'INGRESOS REALES '!$Q$4:$Q$65)</f>
        <v>1128487.558</v>
      </c>
      <c r="G29" s="111">
        <v>100000</v>
      </c>
      <c r="I29" s="7" t="s">
        <v>211</v>
      </c>
      <c r="J29" s="108">
        <v>0</v>
      </c>
      <c r="L29" s="105"/>
      <c r="N29" s="117" t="s">
        <v>289</v>
      </c>
      <c r="O29" s="116">
        <v>0</v>
      </c>
    </row>
    <row r="30" spans="1:15" s="7" customFormat="1" ht="19.5" customHeight="1" x14ac:dyDescent="0.25">
      <c r="A30" s="67">
        <v>49</v>
      </c>
      <c r="B30" s="14"/>
      <c r="C30" s="15" t="s">
        <v>70</v>
      </c>
      <c r="D30" s="128">
        <f>SUMIF('INGRESOS REALES '!$C$4:$C$65,A30,'INGRESOS REALES '!$R$4:$R$65)</f>
        <v>0</v>
      </c>
      <c r="E30" s="16"/>
      <c r="F30" s="16">
        <f>SUMIF('INGRESOS REALES '!$C$4:$C$65,A30,'INGRESOS REALES '!$Q$4:$Q$65)</f>
        <v>0</v>
      </c>
      <c r="G30" s="126">
        <f>D30*1.04</f>
        <v>0</v>
      </c>
      <c r="H30" s="101"/>
      <c r="I30" s="7" t="s">
        <v>212</v>
      </c>
      <c r="J30" s="108">
        <v>0</v>
      </c>
      <c r="L30" s="105"/>
      <c r="N30" s="115" t="s">
        <v>290</v>
      </c>
      <c r="O30" s="116">
        <v>17371850.260000002</v>
      </c>
    </row>
    <row r="31" spans="1:15" s="7" customFormat="1" ht="19.5" customHeight="1" x14ac:dyDescent="0.25">
      <c r="A31" s="67"/>
      <c r="B31" s="17"/>
      <c r="C31" s="20" t="s">
        <v>71</v>
      </c>
      <c r="D31" s="129"/>
      <c r="E31" s="18">
        <v>0</v>
      </c>
      <c r="F31" s="18">
        <f>SUMIF('INGRESOS REALES '!$C$4:$C$65,A31,'INGRESOS REALES '!$Q$4:$Q$65)</f>
        <v>0</v>
      </c>
      <c r="G31" s="127"/>
      <c r="I31" s="7" t="s">
        <v>213</v>
      </c>
      <c r="J31" s="108">
        <v>0</v>
      </c>
      <c r="L31" s="105"/>
      <c r="N31" s="117" t="s">
        <v>291</v>
      </c>
      <c r="O31" s="116">
        <v>17911358.199999999</v>
      </c>
    </row>
    <row r="32" spans="1:15" s="7" customFormat="1" ht="19.5" customHeight="1" x14ac:dyDescent="0.25">
      <c r="A32" s="66">
        <v>5</v>
      </c>
      <c r="B32" s="54" t="s">
        <v>72</v>
      </c>
      <c r="C32" s="55"/>
      <c r="D32" s="56">
        <f>SUM(D33:D36)</f>
        <v>873867</v>
      </c>
      <c r="E32" s="56">
        <f t="shared" ref="E32:G32" si="4">SUM(E33:E36)</f>
        <v>43445548</v>
      </c>
      <c r="F32" s="56">
        <f t="shared" si="4"/>
        <v>781992</v>
      </c>
      <c r="G32" s="112">
        <f t="shared" si="4"/>
        <v>1170517.92</v>
      </c>
      <c r="I32" s="7" t="s">
        <v>214</v>
      </c>
      <c r="J32" s="108">
        <v>0</v>
      </c>
      <c r="L32" s="105"/>
      <c r="N32" s="117" t="s">
        <v>292</v>
      </c>
      <c r="O32" s="116">
        <v>-539507.93999999994</v>
      </c>
    </row>
    <row r="33" spans="1:15" s="7" customFormat="1" ht="19.5" customHeight="1" x14ac:dyDescent="0.25">
      <c r="A33" s="67">
        <v>51</v>
      </c>
      <c r="B33" s="11"/>
      <c r="C33" s="12" t="s">
        <v>72</v>
      </c>
      <c r="D33" s="13">
        <v>873867</v>
      </c>
      <c r="E33" s="13">
        <v>43445548</v>
      </c>
      <c r="F33" s="13">
        <f>SUMIF('INGRESOS REALES '!$C$4:$C$65,A33,'INGRESOS REALES '!$Q$4:$Q$65)</f>
        <v>781992</v>
      </c>
      <c r="G33" s="111">
        <f>1125498*1.04</f>
        <v>1170517.92</v>
      </c>
      <c r="I33" s="7" t="s">
        <v>215</v>
      </c>
      <c r="J33" s="108"/>
      <c r="L33" s="105"/>
      <c r="N33" s="115" t="s">
        <v>293</v>
      </c>
      <c r="O33" s="116">
        <v>18150</v>
      </c>
    </row>
    <row r="34" spans="1:15" s="7" customFormat="1" ht="19.5" hidden="1" customHeight="1" x14ac:dyDescent="0.25">
      <c r="A34" s="67">
        <v>52</v>
      </c>
      <c r="B34" s="14"/>
      <c r="C34" s="15" t="s">
        <v>73</v>
      </c>
      <c r="D34" s="16">
        <f>SUMIF('INGRESOS REALES '!$C$4:$C$65,A34,'INGRESOS REALES '!$R$4:$R$65)</f>
        <v>0</v>
      </c>
      <c r="E34" s="16">
        <v>0</v>
      </c>
      <c r="F34" s="16">
        <f>SUMIF('INGRESOS REALES '!$C$4:$C$65,A34,'INGRESOS REALES '!$Q$4:$Q$65)</f>
        <v>0</v>
      </c>
      <c r="G34" s="111">
        <f>D34*1.04</f>
        <v>0</v>
      </c>
      <c r="I34" s="7" t="s">
        <v>216</v>
      </c>
      <c r="J34" s="108">
        <v>0</v>
      </c>
      <c r="L34" s="105"/>
      <c r="N34" s="117" t="s">
        <v>294</v>
      </c>
      <c r="O34" s="116">
        <v>18150</v>
      </c>
    </row>
    <row r="35" spans="1:15" s="7" customFormat="1" ht="19.5" customHeight="1" x14ac:dyDescent="0.25">
      <c r="A35" s="67">
        <v>59</v>
      </c>
      <c r="B35" s="14"/>
      <c r="C35" s="15" t="s">
        <v>74</v>
      </c>
      <c r="D35" s="128">
        <f>SUMIF('INGRESOS REALES '!$C$4:$C$65,A35,'INGRESOS REALES '!$R$4:$R$65)</f>
        <v>0</v>
      </c>
      <c r="E35" s="16"/>
      <c r="F35" s="16">
        <f>SUMIF('INGRESOS REALES '!$C$4:$C$65,A35,'INGRESOS REALES '!$Q$4:$Q$65)</f>
        <v>0</v>
      </c>
      <c r="G35" s="126">
        <f>D35*1.04</f>
        <v>0</v>
      </c>
      <c r="I35" s="7" t="s">
        <v>217</v>
      </c>
      <c r="J35" s="108">
        <v>0</v>
      </c>
      <c r="L35" s="105"/>
      <c r="N35" s="115" t="s">
        <v>295</v>
      </c>
      <c r="O35" s="116">
        <v>778075.44000000006</v>
      </c>
    </row>
    <row r="36" spans="1:15" s="7" customFormat="1" ht="19.5" customHeight="1" x14ac:dyDescent="0.25">
      <c r="A36" s="67"/>
      <c r="B36" s="17"/>
      <c r="C36" s="20" t="s">
        <v>71</v>
      </c>
      <c r="D36" s="129"/>
      <c r="E36" s="18">
        <v>0</v>
      </c>
      <c r="F36" s="18">
        <f>SUMIF('INGRESOS REALES '!$C$4:$C$65,A36,'INGRESOS REALES '!$Q$4:$Q$65)</f>
        <v>0</v>
      </c>
      <c r="G36" s="127"/>
      <c r="I36" s="7" t="s">
        <v>218</v>
      </c>
      <c r="J36" s="108">
        <v>17371850.260000002</v>
      </c>
      <c r="L36" s="105"/>
      <c r="N36" s="117" t="s">
        <v>296</v>
      </c>
      <c r="O36" s="116">
        <v>124617.24</v>
      </c>
    </row>
    <row r="37" spans="1:15" s="7" customFormat="1" ht="19.5" customHeight="1" x14ac:dyDescent="0.25">
      <c r="A37" s="66"/>
      <c r="B37" s="54" t="s">
        <v>75</v>
      </c>
      <c r="C37" s="55"/>
      <c r="D37" s="56">
        <f>SUM(D38:D41)</f>
        <v>14923387</v>
      </c>
      <c r="E37" s="56">
        <f t="shared" ref="E37:G37" si="5">SUM(E38:E41)</f>
        <v>58342303</v>
      </c>
      <c r="F37" s="56">
        <f t="shared" si="5"/>
        <v>15015262</v>
      </c>
      <c r="G37" s="112">
        <f t="shared" si="5"/>
        <v>27508000</v>
      </c>
      <c r="I37" s="7" t="s">
        <v>219</v>
      </c>
      <c r="J37" s="108">
        <v>17911358.199999999</v>
      </c>
      <c r="L37" s="105"/>
      <c r="N37" s="117" t="s">
        <v>297</v>
      </c>
      <c r="O37" s="116">
        <v>672186.52000000014</v>
      </c>
    </row>
    <row r="38" spans="1:15" s="7" customFormat="1" ht="19.5" customHeight="1" x14ac:dyDescent="0.25">
      <c r="A38" s="67">
        <v>61</v>
      </c>
      <c r="B38" s="21"/>
      <c r="C38" s="12" t="s">
        <v>75</v>
      </c>
      <c r="D38" s="13">
        <v>14923387</v>
      </c>
      <c r="E38" s="13">
        <v>58342303</v>
      </c>
      <c r="F38" s="13">
        <f>SUMIF('INGRESOS REALES '!$C$4:$C$65,A38,'INGRESOS REALES '!$Q$4:$Q$65)</f>
        <v>14923387</v>
      </c>
      <c r="G38" s="111">
        <f>26450000*1.04</f>
        <v>27508000</v>
      </c>
      <c r="I38" s="7" t="s">
        <v>220</v>
      </c>
      <c r="J38" s="108">
        <v>539507.93999999994</v>
      </c>
      <c r="L38" s="105"/>
      <c r="N38" s="117" t="s">
        <v>292</v>
      </c>
      <c r="O38" s="116">
        <v>-18728.32</v>
      </c>
    </row>
    <row r="39" spans="1:15" s="7" customFormat="1" ht="19.5" customHeight="1" x14ac:dyDescent="0.25">
      <c r="A39" s="67">
        <v>62</v>
      </c>
      <c r="B39" s="14"/>
      <c r="C39" s="15" t="s">
        <v>76</v>
      </c>
      <c r="D39" s="16">
        <v>0</v>
      </c>
      <c r="E39" s="16">
        <v>0</v>
      </c>
      <c r="F39" s="16">
        <f>SUMIF('INGRESOS REALES '!$C$4:$C$65,A39,'INGRESOS REALES '!$Q$4:$Q$65)</f>
        <v>91875</v>
      </c>
      <c r="G39" s="111">
        <f>D39*1.04</f>
        <v>0</v>
      </c>
      <c r="I39" s="7" t="s">
        <v>221</v>
      </c>
      <c r="J39" s="108">
        <v>15450</v>
      </c>
      <c r="L39" s="105"/>
      <c r="N39" s="115" t="s">
        <v>226</v>
      </c>
      <c r="O39" s="116">
        <v>1202447.6099999999</v>
      </c>
    </row>
    <row r="40" spans="1:15" s="7" customFormat="1" ht="19.5" customHeight="1" x14ac:dyDescent="0.25">
      <c r="A40" s="67">
        <v>63</v>
      </c>
      <c r="B40" s="14"/>
      <c r="C40" s="15" t="s">
        <v>77</v>
      </c>
      <c r="D40" s="16">
        <f>SUMIF('INGRESOS REALES '!$C$4:$C$65,A40,'INGRESOS REALES '!$R$4:$R$65)</f>
        <v>0</v>
      </c>
      <c r="E40" s="16">
        <v>0</v>
      </c>
      <c r="F40" s="16">
        <f>SUMIF('INGRESOS REALES '!$C$4:$C$65,A40,'INGRESOS REALES '!$Q$4:$Q$65)</f>
        <v>0</v>
      </c>
      <c r="G40" s="111">
        <f>D40*1.04</f>
        <v>0</v>
      </c>
      <c r="I40" s="7" t="s">
        <v>222</v>
      </c>
      <c r="J40" s="108">
        <v>15450</v>
      </c>
      <c r="L40" s="105"/>
      <c r="N40" s="117" t="s">
        <v>298</v>
      </c>
      <c r="O40" s="116">
        <v>484784.16</v>
      </c>
    </row>
    <row r="41" spans="1:15" s="7" customFormat="1" ht="37.5" customHeight="1" x14ac:dyDescent="0.2">
      <c r="A41" s="67">
        <v>69</v>
      </c>
      <c r="B41" s="11"/>
      <c r="C41" s="22" t="s">
        <v>78</v>
      </c>
      <c r="D41" s="13">
        <f>SUMIF('INGRESOS REALES '!$C$4:$C$65,A41,'INGRESOS REALES '!$R$4:$R$65)</f>
        <v>0</v>
      </c>
      <c r="E41" s="16"/>
      <c r="F41" s="13">
        <f>SUMIF('INGRESOS REALES '!$C$4:$C$65,A41,'INGRESOS REALES '!$Q$4:$Q$65)</f>
        <v>0</v>
      </c>
      <c r="G41" s="111">
        <f>D41*1.04</f>
        <v>0</v>
      </c>
      <c r="I41" s="7" t="s">
        <v>223</v>
      </c>
      <c r="J41" s="108">
        <v>738861.72</v>
      </c>
      <c r="L41" s="105"/>
      <c r="N41" s="117" t="s">
        <v>299</v>
      </c>
      <c r="O41" s="116">
        <v>712994.94000000006</v>
      </c>
    </row>
    <row r="42" spans="1:15" s="7" customFormat="1" ht="19.5" customHeight="1" x14ac:dyDescent="0.25">
      <c r="A42" s="66">
        <v>7</v>
      </c>
      <c r="B42" s="54" t="s">
        <v>79</v>
      </c>
      <c r="C42" s="55"/>
      <c r="D42" s="56">
        <f>SUM(D51:D51)</f>
        <v>0</v>
      </c>
      <c r="E42" s="56">
        <f t="shared" ref="E42:G42" si="6">SUM(E51:E51)</f>
        <v>0</v>
      </c>
      <c r="F42" s="56">
        <f t="shared" si="6"/>
        <v>0</v>
      </c>
      <c r="G42" s="112">
        <f t="shared" si="6"/>
        <v>0</v>
      </c>
      <c r="I42" s="7" t="s">
        <v>224</v>
      </c>
      <c r="J42" s="108">
        <v>124617.24</v>
      </c>
      <c r="L42" s="105">
        <f>1557405.7*10*1.04</f>
        <v>16197019.280000001</v>
      </c>
      <c r="N42" s="117" t="s">
        <v>300</v>
      </c>
      <c r="O42" s="116">
        <v>4668.51</v>
      </c>
    </row>
    <row r="43" spans="1:15" s="7" customFormat="1" ht="30" hidden="1" x14ac:dyDescent="0.25">
      <c r="A43" s="67">
        <v>71</v>
      </c>
      <c r="B43" s="11"/>
      <c r="C43" s="23" t="s">
        <v>80</v>
      </c>
      <c r="D43" s="13">
        <f>SUMIF('INGRESOS REALES '!$C$4:$C$65,A43,'INGRESOS REALES '!$R$4:$R$65)</f>
        <v>0</v>
      </c>
      <c r="E43" s="13">
        <v>0</v>
      </c>
      <c r="F43" s="13">
        <f>SUMIF('INGRESOS REALES '!$C$4:$C$65,A43,'INGRESOS REALES '!$Q$4:$Q$65)</f>
        <v>0</v>
      </c>
      <c r="G43" s="111">
        <f t="shared" ref="G43:G51" si="7">D43*1.04</f>
        <v>0</v>
      </c>
      <c r="I43" s="7" t="s">
        <v>225</v>
      </c>
      <c r="J43" s="108">
        <v>632972.79999999993</v>
      </c>
      <c r="L43" s="105"/>
      <c r="N43" s="115" t="s">
        <v>230</v>
      </c>
      <c r="O43" s="116">
        <v>150650</v>
      </c>
    </row>
    <row r="44" spans="1:15" s="7" customFormat="1" ht="19.5" hidden="1" customHeight="1" x14ac:dyDescent="0.25">
      <c r="A44" s="67">
        <v>72</v>
      </c>
      <c r="B44" s="17"/>
      <c r="C44" s="24" t="s">
        <v>81</v>
      </c>
      <c r="D44" s="13">
        <f>SUMIF('INGRESOS REALES '!$C$4:$C$65,A44,'INGRESOS REALES '!$R$4:$R$65)</f>
        <v>0</v>
      </c>
      <c r="E44" s="13">
        <v>0</v>
      </c>
      <c r="F44" s="13">
        <f>SUMIF('INGRESOS REALES '!$C$4:$C$65,A44,'INGRESOS REALES '!$Q$4:$Q$65)</f>
        <v>0</v>
      </c>
      <c r="G44" s="111">
        <f t="shared" si="7"/>
        <v>0</v>
      </c>
      <c r="I44" s="7" t="s">
        <v>220</v>
      </c>
      <c r="J44" s="108">
        <v>18728.32</v>
      </c>
      <c r="L44" s="105"/>
      <c r="N44" s="117" t="s">
        <v>301</v>
      </c>
      <c r="O44" s="116">
        <v>150650</v>
      </c>
    </row>
    <row r="45" spans="1:15" s="7" customFormat="1" ht="19.5" hidden="1" customHeight="1" x14ac:dyDescent="0.25">
      <c r="A45" s="67">
        <v>73</v>
      </c>
      <c r="B45" s="11"/>
      <c r="C45" s="19" t="s">
        <v>82</v>
      </c>
      <c r="D45" s="13">
        <f>SUMIF('INGRESOS REALES '!$C$4:$C$65,A45,'INGRESOS REALES '!$R$4:$R$65)</f>
        <v>0</v>
      </c>
      <c r="E45" s="13">
        <v>0</v>
      </c>
      <c r="F45" s="13">
        <f>SUMIF('INGRESOS REALES '!$C$4:$C$65,A45,'INGRESOS REALES '!$Q$4:$Q$65)</f>
        <v>0</v>
      </c>
      <c r="G45" s="111">
        <f t="shared" si="7"/>
        <v>0</v>
      </c>
      <c r="I45" s="7" t="s">
        <v>226</v>
      </c>
      <c r="J45" s="108">
        <v>987290.85</v>
      </c>
      <c r="L45" s="105"/>
      <c r="N45" s="113" t="s">
        <v>58</v>
      </c>
      <c r="O45" s="114">
        <v>0</v>
      </c>
    </row>
    <row r="46" spans="1:15" s="7" customFormat="1" ht="19.5" hidden="1" customHeight="1" x14ac:dyDescent="0.25">
      <c r="A46" s="67">
        <v>74</v>
      </c>
      <c r="B46" s="11"/>
      <c r="C46" s="19" t="s">
        <v>83</v>
      </c>
      <c r="D46" s="13">
        <f>SUMIF('INGRESOS REALES '!$C$4:$C$65,A46,'INGRESOS REALES '!$R$4:$R$65)</f>
        <v>0</v>
      </c>
      <c r="E46" s="13">
        <v>0</v>
      </c>
      <c r="F46" s="13">
        <f>SUMIF('INGRESOS REALES '!$C$4:$C$65,A46,'INGRESOS REALES '!$Q$4:$Q$65)</f>
        <v>0</v>
      </c>
      <c r="G46" s="111">
        <f t="shared" si="7"/>
        <v>0</v>
      </c>
      <c r="I46" s="7" t="s">
        <v>227</v>
      </c>
      <c r="J46" s="108">
        <v>440175.95999999996</v>
      </c>
      <c r="L46" s="105"/>
      <c r="N46" s="115" t="s">
        <v>302</v>
      </c>
      <c r="O46" s="116">
        <v>0</v>
      </c>
    </row>
    <row r="47" spans="1:15" s="7" customFormat="1" ht="37.5" hidden="1" customHeight="1" x14ac:dyDescent="0.25">
      <c r="A47" s="67">
        <v>75</v>
      </c>
      <c r="B47" s="11"/>
      <c r="C47" s="25" t="s">
        <v>84</v>
      </c>
      <c r="D47" s="13">
        <f>SUMIF('INGRESOS REALES '!$C$4:$C$65,A47,'INGRESOS REALES '!$R$4:$R$65)</f>
        <v>0</v>
      </c>
      <c r="E47" s="13">
        <v>0</v>
      </c>
      <c r="F47" s="13">
        <f>SUMIF('INGRESOS REALES '!$C$4:$C$65,A47,'INGRESOS REALES '!$Q$4:$Q$65)</f>
        <v>0</v>
      </c>
      <c r="G47" s="111">
        <f t="shared" si="7"/>
        <v>0</v>
      </c>
      <c r="I47" s="7" t="s">
        <v>228</v>
      </c>
      <c r="J47" s="108">
        <v>542446.38</v>
      </c>
      <c r="L47" s="105"/>
      <c r="N47" s="117" t="s">
        <v>303</v>
      </c>
      <c r="O47" s="116">
        <v>0</v>
      </c>
    </row>
    <row r="48" spans="1:15" s="7" customFormat="1" ht="19.5" hidden="1" customHeight="1" x14ac:dyDescent="0.25">
      <c r="A48" s="67">
        <v>76</v>
      </c>
      <c r="B48" s="17"/>
      <c r="C48" s="24" t="s">
        <v>85</v>
      </c>
      <c r="D48" s="18">
        <f>SUMIF('INGRESOS REALES '!$C$4:$C$65,A48,'INGRESOS REALES '!$R$4:$R$65)</f>
        <v>0</v>
      </c>
      <c r="E48" s="13">
        <v>0</v>
      </c>
      <c r="F48" s="18">
        <f>SUMIF('INGRESOS REALES '!$C$4:$C$65,A48,'INGRESOS REALES '!$Q$4:$Q$65)</f>
        <v>0</v>
      </c>
      <c r="G48" s="111">
        <f t="shared" si="7"/>
        <v>0</v>
      </c>
      <c r="I48" s="7" t="s">
        <v>229</v>
      </c>
      <c r="J48" s="108">
        <v>4668.51</v>
      </c>
      <c r="L48" s="105"/>
      <c r="N48" s="113" t="s">
        <v>304</v>
      </c>
      <c r="O48" s="114">
        <v>371825.67000000004</v>
      </c>
    </row>
    <row r="49" spans="1:15" s="7" customFormat="1" ht="90" hidden="1" x14ac:dyDescent="0.25">
      <c r="A49" s="67">
        <v>77</v>
      </c>
      <c r="B49" s="11"/>
      <c r="C49" s="19" t="s">
        <v>86</v>
      </c>
      <c r="D49" s="13">
        <f>SUMIF('INGRESOS REALES '!$C$4:$C$65,A49,'INGRESOS REALES '!$R$4:$R$65)</f>
        <v>0</v>
      </c>
      <c r="E49" s="13">
        <v>0</v>
      </c>
      <c r="F49" s="13">
        <f>SUMIF('INGRESOS REALES '!$C$4:$C$65,A49,'INGRESOS REALES '!$Q$4:$Q$65)</f>
        <v>0</v>
      </c>
      <c r="G49" s="111">
        <f t="shared" si="7"/>
        <v>0</v>
      </c>
      <c r="I49" s="7" t="s">
        <v>230</v>
      </c>
      <c r="J49" s="108">
        <v>73550</v>
      </c>
      <c r="L49" s="105"/>
      <c r="N49" s="115" t="s">
        <v>305</v>
      </c>
      <c r="O49" s="116">
        <v>0</v>
      </c>
    </row>
    <row r="50" spans="1:15" s="7" customFormat="1" ht="38.25" hidden="1" x14ac:dyDescent="0.25">
      <c r="A50" s="67">
        <v>78</v>
      </c>
      <c r="B50" s="11"/>
      <c r="C50" s="19" t="s">
        <v>87</v>
      </c>
      <c r="D50" s="13">
        <f>SUMIF('INGRESOS REALES '!$C$4:$C$65,A50,'INGRESOS REALES '!$R$4:$R$65)</f>
        <v>0</v>
      </c>
      <c r="E50" s="13">
        <v>0</v>
      </c>
      <c r="F50" s="13">
        <f>SUMIF('INGRESOS REALES '!$C$4:$C$65,A50,'INGRESOS REALES '!$Q$4:$Q$65)</f>
        <v>0</v>
      </c>
      <c r="G50" s="111">
        <f t="shared" si="7"/>
        <v>0</v>
      </c>
      <c r="I50" s="7" t="s">
        <v>231</v>
      </c>
      <c r="J50" s="108">
        <v>73550</v>
      </c>
      <c r="L50" s="105"/>
      <c r="N50" s="117" t="s">
        <v>306</v>
      </c>
      <c r="O50" s="116">
        <v>0</v>
      </c>
    </row>
    <row r="51" spans="1:15" s="7" customFormat="1" ht="54" x14ac:dyDescent="0.25">
      <c r="A51" s="67">
        <v>79</v>
      </c>
      <c r="B51" s="11"/>
      <c r="C51" s="12" t="s">
        <v>88</v>
      </c>
      <c r="D51" s="13">
        <f>SUMIF('INGRESOS REALES '!$C$4:$C$65,A51,'INGRESOS REALES '!$R$4:$R$65)</f>
        <v>0</v>
      </c>
      <c r="E51" s="13">
        <v>0</v>
      </c>
      <c r="F51" s="13">
        <f>SUMIF('INGRESOS REALES '!$C$4:$C$65,A51,'INGRESOS REALES '!$Q$4:$Q$65)</f>
        <v>0</v>
      </c>
      <c r="G51" s="111">
        <f t="shared" si="7"/>
        <v>0</v>
      </c>
      <c r="I51" s="7" t="s">
        <v>58</v>
      </c>
      <c r="J51" s="108">
        <v>0</v>
      </c>
      <c r="L51" s="105">
        <f>8215315.42*12*1.04</f>
        <v>102527136.44159999</v>
      </c>
      <c r="N51" s="115" t="s">
        <v>237</v>
      </c>
      <c r="O51" s="116">
        <v>298495</v>
      </c>
    </row>
    <row r="52" spans="1:15" s="7" customFormat="1" x14ac:dyDescent="0.25">
      <c r="A52" s="66">
        <v>8</v>
      </c>
      <c r="B52" s="124" t="s">
        <v>89</v>
      </c>
      <c r="C52" s="125"/>
      <c r="D52" s="56">
        <f>SUM(D53:D57)</f>
        <v>144299155.28999999</v>
      </c>
      <c r="E52" s="56">
        <f t="shared" ref="E52:F52" si="8">SUM(E53:E57)</f>
        <v>1194231135</v>
      </c>
      <c r="F52" s="56">
        <f t="shared" si="8"/>
        <v>141158415.40500003</v>
      </c>
      <c r="G52" s="112">
        <f>SUM(G53:G57)</f>
        <v>303980484.5352</v>
      </c>
      <c r="I52" s="7" t="s">
        <v>232</v>
      </c>
      <c r="J52" s="108">
        <v>0</v>
      </c>
      <c r="L52" s="105">
        <f>1173188.49*12*1.04</f>
        <v>14641392.3552</v>
      </c>
      <c r="N52" s="117" t="s">
        <v>307</v>
      </c>
      <c r="O52" s="116">
        <v>15000</v>
      </c>
    </row>
    <row r="53" spans="1:15" s="7" customFormat="1" ht="45" x14ac:dyDescent="0.25">
      <c r="A53" s="67">
        <v>81</v>
      </c>
      <c r="B53" s="11"/>
      <c r="C53" s="12" t="s">
        <v>90</v>
      </c>
      <c r="D53" s="68">
        <v>43034231.729999997</v>
      </c>
      <c r="E53" s="13">
        <v>980364338</v>
      </c>
      <c r="F53" s="13">
        <f>SUMIF('INGRESOS REALES '!$C$4:$C$65,A53,'INGRESOS REALES '!$Q$4:$Q$65)</f>
        <v>34313261.150000006</v>
      </c>
      <c r="G53" s="111">
        <f>99981235.13*1.04</f>
        <v>103980484.5352</v>
      </c>
      <c r="I53" s="7" t="s">
        <v>233</v>
      </c>
      <c r="J53" s="108">
        <v>0</v>
      </c>
      <c r="L53" s="105">
        <f>SUM(L42:L52)</f>
        <v>133365548.07679999</v>
      </c>
      <c r="N53" s="117" t="s">
        <v>308</v>
      </c>
      <c r="O53" s="116">
        <v>283495</v>
      </c>
    </row>
    <row r="54" spans="1:15" s="7" customFormat="1" ht="54" x14ac:dyDescent="0.25">
      <c r="A54" s="67">
        <v>82</v>
      </c>
      <c r="B54" s="11"/>
      <c r="C54" s="12" t="s">
        <v>91</v>
      </c>
      <c r="D54" s="13">
        <v>43250774</v>
      </c>
      <c r="E54" s="13">
        <v>213866797</v>
      </c>
      <c r="F54" s="13">
        <f>SUMIF('INGRESOS REALES '!$C$4:$C$65,A54,'INGRESOS REALES '!$Q$4:$Q$65)</f>
        <v>32514366.139999997</v>
      </c>
      <c r="G54" s="111">
        <v>150000000</v>
      </c>
      <c r="I54" s="7" t="s">
        <v>234</v>
      </c>
      <c r="J54" s="108">
        <v>216289.08999999997</v>
      </c>
      <c r="L54" s="105"/>
      <c r="N54" s="115" t="s">
        <v>309</v>
      </c>
      <c r="O54" s="116">
        <v>73330.67</v>
      </c>
    </row>
    <row r="55" spans="1:15" s="7" customFormat="1" ht="18" x14ac:dyDescent="0.25">
      <c r="A55" s="67">
        <v>83</v>
      </c>
      <c r="B55" s="11"/>
      <c r="C55" s="12" t="s">
        <v>92</v>
      </c>
      <c r="D55" s="13">
        <v>58014149.560000002</v>
      </c>
      <c r="E55" s="13">
        <v>0</v>
      </c>
      <c r="F55" s="13">
        <f>SUMIF('INGRESOS REALES '!$C$4:$C$65,A55,'INGRESOS REALES '!$Q$4:$Q$65)</f>
        <v>74330788.11500001</v>
      </c>
      <c r="G55" s="111">
        <v>50000000</v>
      </c>
      <c r="I55" s="7" t="s">
        <v>235</v>
      </c>
      <c r="J55" s="108">
        <v>0</v>
      </c>
      <c r="L55" s="105"/>
      <c r="N55" s="117" t="s">
        <v>310</v>
      </c>
      <c r="O55" s="116">
        <v>73330.67</v>
      </c>
    </row>
    <row r="56" spans="1:15" s="7" customFormat="1" x14ac:dyDescent="0.25">
      <c r="A56" s="67">
        <v>84</v>
      </c>
      <c r="B56" s="11"/>
      <c r="C56" s="12" t="s">
        <v>93</v>
      </c>
      <c r="D56" s="13">
        <f>SUMIF('INGRESOS REALES '!$C$4:$C$65,A56,'INGRESOS REALES '!$R$4:$R$65)</f>
        <v>0</v>
      </c>
      <c r="E56" s="13">
        <v>0</v>
      </c>
      <c r="F56" s="13">
        <f>SUMIF('INGRESOS REALES '!$C$4:$C$65,A56,'INGRESOS REALES '!$Q$4:$Q$65)</f>
        <v>0</v>
      </c>
      <c r="G56" s="111">
        <f>D56*1.04</f>
        <v>0</v>
      </c>
      <c r="I56" s="7" t="s">
        <v>236</v>
      </c>
      <c r="J56" s="108">
        <v>0</v>
      </c>
      <c r="L56" s="105">
        <f>66654156.75/8</f>
        <v>8331769.59375</v>
      </c>
      <c r="N56" s="113" t="s">
        <v>184</v>
      </c>
      <c r="O56" s="114">
        <v>429396.49</v>
      </c>
    </row>
    <row r="57" spans="1:15" s="7" customFormat="1" ht="19.5" customHeight="1" x14ac:dyDescent="0.25">
      <c r="A57" s="67">
        <v>85</v>
      </c>
      <c r="B57" s="11"/>
      <c r="C57" s="12" t="s">
        <v>94</v>
      </c>
      <c r="D57" s="13">
        <f>SUMIF('INGRESOS REALES '!$C$4:$C$65,A57,'INGRESOS REALES '!$R$4:$R$65)</f>
        <v>0</v>
      </c>
      <c r="E57" s="13">
        <v>0</v>
      </c>
      <c r="F57" s="13">
        <f>SUMIF('INGRESOS REALES '!$C$4:$C$65,A57,'INGRESOS REALES '!$Q$4:$Q$65)</f>
        <v>0</v>
      </c>
      <c r="G57" s="111">
        <f>D57*1.04</f>
        <v>0</v>
      </c>
      <c r="I57" s="7" t="s">
        <v>237</v>
      </c>
      <c r="J57" s="108">
        <v>167045</v>
      </c>
      <c r="L57" s="105">
        <f>L56*12</f>
        <v>99981235.125</v>
      </c>
      <c r="N57" s="115" t="s">
        <v>184</v>
      </c>
      <c r="O57" s="116">
        <v>429396.49</v>
      </c>
    </row>
    <row r="58" spans="1:15" s="7" customFormat="1" ht="36" customHeight="1" x14ac:dyDescent="0.25">
      <c r="A58" s="66">
        <v>9</v>
      </c>
      <c r="B58" s="124" t="s">
        <v>95</v>
      </c>
      <c r="C58" s="125"/>
      <c r="D58" s="59">
        <f>SUM(D59:D65)</f>
        <v>0</v>
      </c>
      <c r="E58" s="59">
        <f t="shared" ref="E58:G58" si="9">SUM(E59:E65)</f>
        <v>0</v>
      </c>
      <c r="F58" s="59">
        <f t="shared" si="9"/>
        <v>0</v>
      </c>
      <c r="G58" s="112">
        <f t="shared" si="9"/>
        <v>0</v>
      </c>
      <c r="I58" s="7" t="s">
        <v>238</v>
      </c>
      <c r="J58" s="108">
        <v>9000</v>
      </c>
      <c r="L58" s="105"/>
      <c r="N58" s="117" t="s">
        <v>311</v>
      </c>
      <c r="O58" s="116">
        <v>356436.9</v>
      </c>
    </row>
    <row r="59" spans="1:15" s="7" customFormat="1" ht="19.5" customHeight="1" x14ac:dyDescent="0.25">
      <c r="A59" s="67">
        <v>91</v>
      </c>
      <c r="B59" s="26"/>
      <c r="C59" s="12" t="s">
        <v>96</v>
      </c>
      <c r="D59" s="13">
        <f>SUMIF('INGRESOS REALES '!$C$4:$C$65,A59,'INGRESOS REALES '!$R$4:$R$65)</f>
        <v>0</v>
      </c>
      <c r="E59" s="13">
        <v>0</v>
      </c>
      <c r="F59" s="13">
        <f>SUMIF('INGRESOS REALES '!$C$4:$C$65,A59,'INGRESOS REALES '!$Q$4:$Q$65)</f>
        <v>0</v>
      </c>
      <c r="G59" s="111">
        <f t="shared" ref="G59:G65" si="10">D59*1.04</f>
        <v>0</v>
      </c>
      <c r="H59" s="71"/>
      <c r="I59" s="7" t="s">
        <v>239</v>
      </c>
      <c r="J59" s="108">
        <v>158045</v>
      </c>
      <c r="L59" s="105"/>
      <c r="N59" s="117" t="s">
        <v>312</v>
      </c>
      <c r="O59" s="116">
        <v>26276.59</v>
      </c>
    </row>
    <row r="60" spans="1:15" s="7" customFormat="1" ht="19.5" customHeight="1" x14ac:dyDescent="0.25">
      <c r="A60" s="67">
        <v>92</v>
      </c>
      <c r="B60" s="11"/>
      <c r="C60" s="12" t="s">
        <v>97</v>
      </c>
      <c r="D60" s="13">
        <f>SUMIF('INGRESOS REALES '!$C$4:$C$65,A60,'INGRESOS REALES '!$R$4:$R$65)</f>
        <v>0</v>
      </c>
      <c r="E60" s="13">
        <v>0</v>
      </c>
      <c r="F60" s="13">
        <f>SUMIF('INGRESOS REALES '!$C$4:$C$65,A60,'INGRESOS REALES '!$Q$4:$Q$65)</f>
        <v>0</v>
      </c>
      <c r="G60" s="111">
        <f t="shared" si="10"/>
        <v>0</v>
      </c>
      <c r="H60" s="71"/>
      <c r="I60" s="7" t="s">
        <v>240</v>
      </c>
      <c r="J60" s="108">
        <v>49244.090000000004</v>
      </c>
      <c r="L60" s="105"/>
      <c r="N60" s="113" t="s">
        <v>90</v>
      </c>
      <c r="O60" s="114">
        <v>82731040.039999992</v>
      </c>
    </row>
    <row r="61" spans="1:15" s="7" customFormat="1" ht="19.5" customHeight="1" x14ac:dyDescent="0.25">
      <c r="A61" s="67">
        <v>93</v>
      </c>
      <c r="B61" s="11"/>
      <c r="C61" s="12" t="s">
        <v>98</v>
      </c>
      <c r="D61" s="13">
        <f>SUMIF('INGRESOS REALES '!$C$4:$C$65,A61,'INGRESOS REALES '!$R$4:$R$65)</f>
        <v>0</v>
      </c>
      <c r="E61" s="13">
        <v>0</v>
      </c>
      <c r="F61" s="13">
        <f>SUMIF('INGRESOS REALES '!$C$4:$C$65,A61,'INGRESOS REALES '!$Q$4:$Q$65)</f>
        <v>0</v>
      </c>
      <c r="G61" s="111">
        <f t="shared" si="10"/>
        <v>0</v>
      </c>
      <c r="H61" s="71"/>
      <c r="I61" s="7" t="s">
        <v>241</v>
      </c>
      <c r="J61" s="108">
        <v>49244.090000000004</v>
      </c>
      <c r="L61" s="105"/>
      <c r="N61" s="115" t="s">
        <v>245</v>
      </c>
      <c r="O61" s="116">
        <v>78306335.600000009</v>
      </c>
    </row>
    <row r="62" spans="1:15" s="7" customFormat="1" ht="19.5" customHeight="1" x14ac:dyDescent="0.25">
      <c r="A62" s="67">
        <v>94</v>
      </c>
      <c r="B62" s="11"/>
      <c r="C62" s="12" t="s">
        <v>99</v>
      </c>
      <c r="D62" s="13">
        <f>SUMIF('INGRESOS REALES '!$C$4:$C$65,A62,'INGRESOS REALES '!$R$4:$R$65)</f>
        <v>0</v>
      </c>
      <c r="E62" s="13">
        <v>0</v>
      </c>
      <c r="F62" s="13">
        <f>SUMIF('INGRESOS REALES '!$C$4:$C$65,A62,'INGRESOS REALES '!$Q$4:$Q$65)</f>
        <v>0</v>
      </c>
      <c r="G62" s="111">
        <f t="shared" si="10"/>
        <v>0</v>
      </c>
      <c r="I62" s="7" t="s">
        <v>184</v>
      </c>
      <c r="J62" s="108">
        <v>359150.49</v>
      </c>
      <c r="L62" s="105"/>
      <c r="N62" s="117" t="s">
        <v>313</v>
      </c>
      <c r="O62" s="116">
        <v>42197418.059999987</v>
      </c>
    </row>
    <row r="63" spans="1:15" s="7" customFormat="1" ht="19.5" customHeight="1" x14ac:dyDescent="0.25">
      <c r="A63" s="67">
        <v>95</v>
      </c>
      <c r="B63" s="11"/>
      <c r="C63" s="12" t="s">
        <v>100</v>
      </c>
      <c r="D63" s="13">
        <f>SUMIF('INGRESOS REALES '!$C$4:$C$65,A63,'INGRESOS REALES '!$R$4:$R$65)</f>
        <v>0</v>
      </c>
      <c r="E63" s="13">
        <v>0</v>
      </c>
      <c r="F63" s="13">
        <f>SUMIF('INGRESOS REALES '!$C$4:$C$65,A63,'INGRESOS REALES '!$Q$4:$Q$65)</f>
        <v>0</v>
      </c>
      <c r="G63" s="111">
        <f t="shared" si="10"/>
        <v>0</v>
      </c>
      <c r="I63" s="7" t="s">
        <v>184</v>
      </c>
      <c r="J63" s="108">
        <v>359150.49</v>
      </c>
      <c r="L63" s="105"/>
      <c r="N63" s="117" t="s">
        <v>314</v>
      </c>
      <c r="O63" s="116">
        <v>23587803.190000005</v>
      </c>
    </row>
    <row r="64" spans="1:15" s="7" customFormat="1" ht="30.75" customHeight="1" x14ac:dyDescent="0.25">
      <c r="A64" s="67">
        <v>96</v>
      </c>
      <c r="B64" s="11"/>
      <c r="C64" s="12" t="s">
        <v>101</v>
      </c>
      <c r="D64" s="13">
        <f>SUMIF('INGRESOS REALES '!$C$4:$C$65,A64,'INGRESOS REALES '!$R$4:$R$65)</f>
        <v>0</v>
      </c>
      <c r="E64" s="13">
        <v>0</v>
      </c>
      <c r="F64" s="13">
        <f>SUMIF('INGRESOS REALES '!$C$4:$C$65,A64,'INGRESOS REALES '!$Q$4:$Q$65)</f>
        <v>0</v>
      </c>
      <c r="G64" s="111">
        <f t="shared" si="10"/>
        <v>0</v>
      </c>
      <c r="I64" s="7" t="s">
        <v>242</v>
      </c>
      <c r="J64" s="108">
        <v>328212.90000000002</v>
      </c>
      <c r="L64" s="105"/>
      <c r="N64" s="117" t="s">
        <v>315</v>
      </c>
      <c r="O64" s="116">
        <v>3415582.2399999993</v>
      </c>
    </row>
    <row r="65" spans="1:15" s="7" customFormat="1" ht="19.5" customHeight="1" x14ac:dyDescent="0.25">
      <c r="A65" s="67">
        <v>97</v>
      </c>
      <c r="B65" s="11"/>
      <c r="C65" s="12" t="s">
        <v>102</v>
      </c>
      <c r="D65" s="13">
        <f>SUMIF('INGRESOS REALES '!$C$4:$C$65,A65,'INGRESOS REALES '!$R$4:$R$65)</f>
        <v>0</v>
      </c>
      <c r="E65" s="13">
        <v>0</v>
      </c>
      <c r="F65" s="13">
        <f>SUMIF('INGRESOS REALES '!$C$4:$C$65,A65,'INGRESOS REALES '!$Q$4:$Q$65)</f>
        <v>0</v>
      </c>
      <c r="G65" s="111">
        <f t="shared" si="10"/>
        <v>0</v>
      </c>
      <c r="I65" s="7" t="s">
        <v>243</v>
      </c>
      <c r="J65" s="108">
        <v>15376.59</v>
      </c>
      <c r="L65" s="105"/>
      <c r="N65" s="117" t="s">
        <v>316</v>
      </c>
      <c r="O65" s="116">
        <v>2265598.5400000005</v>
      </c>
    </row>
    <row r="66" spans="1:15" s="7" customFormat="1" ht="19.5" customHeight="1" x14ac:dyDescent="0.25">
      <c r="A66" s="66"/>
      <c r="B66" s="57" t="s">
        <v>103</v>
      </c>
      <c r="C66" s="58"/>
      <c r="D66" s="59">
        <f>SUM(D67:D69)</f>
        <v>0</v>
      </c>
      <c r="E66" s="59">
        <f t="shared" ref="E66:G66" si="11">SUM(E67:E69)</f>
        <v>0</v>
      </c>
      <c r="F66" s="59">
        <f t="shared" si="11"/>
        <v>0</v>
      </c>
      <c r="G66" s="112">
        <f t="shared" si="11"/>
        <v>24027341.998512</v>
      </c>
      <c r="I66" s="7" t="s">
        <v>244</v>
      </c>
      <c r="J66" s="108">
        <v>15561</v>
      </c>
      <c r="L66" s="105"/>
      <c r="N66" s="117" t="s">
        <v>317</v>
      </c>
      <c r="O66" s="116">
        <v>1895804.3300000003</v>
      </c>
    </row>
    <row r="67" spans="1:15" s="7" customFormat="1" ht="19.5" customHeight="1" x14ac:dyDescent="0.25">
      <c r="A67" s="67">
        <v>0</v>
      </c>
      <c r="B67" s="11"/>
      <c r="C67" s="12" t="s">
        <v>104</v>
      </c>
      <c r="D67" s="13">
        <f>SUMIF('INGRESOS REALES '!$C$4:$C$65,A67,'INGRESOS REALES '!$R$4:$R$65)</f>
        <v>0</v>
      </c>
      <c r="E67" s="13">
        <v>0</v>
      </c>
      <c r="F67" s="13">
        <f>SUMIF('INGRESOS REALES '!$C$4:$C$65,A67,'INGRESOS REALES '!$Q$4:$Q$65)</f>
        <v>0</v>
      </c>
      <c r="G67" s="111"/>
      <c r="I67" s="7" t="s">
        <v>90</v>
      </c>
      <c r="J67" s="108">
        <v>82731040.039999992</v>
      </c>
      <c r="L67" s="105"/>
      <c r="N67" s="117" t="s">
        <v>318</v>
      </c>
      <c r="O67" s="116">
        <v>3159573.4699999997</v>
      </c>
    </row>
    <row r="68" spans="1:15" s="7" customFormat="1" ht="19.5" customHeight="1" x14ac:dyDescent="0.25">
      <c r="A68" s="67">
        <v>1</v>
      </c>
      <c r="B68" s="11"/>
      <c r="C68" s="12" t="s">
        <v>105</v>
      </c>
      <c r="D68" s="13">
        <f>SUMIF('INGRESOS REALES '!$C$4:$C$65,A68,'INGRESOS REALES '!$R$4:$R$65)</f>
        <v>0</v>
      </c>
      <c r="E68" s="13">
        <v>0</v>
      </c>
      <c r="F68" s="13">
        <f>SUMIF('INGRESOS REALES '!$C$4:$C$65,A68,'INGRESOS REALES '!$Q$4:$Q$65)</f>
        <v>0</v>
      </c>
      <c r="G68" s="111">
        <v>24027341.998512</v>
      </c>
      <c r="I68" s="7" t="s">
        <v>245</v>
      </c>
      <c r="J68" s="108">
        <v>78306335.599999994</v>
      </c>
      <c r="L68" s="105"/>
      <c r="N68" s="117" t="s">
        <v>319</v>
      </c>
      <c r="O68" s="116">
        <v>1784555.77</v>
      </c>
    </row>
    <row r="69" spans="1:15" s="7" customFormat="1" ht="19.5" customHeight="1" x14ac:dyDescent="0.25">
      <c r="A69" s="67">
        <v>2</v>
      </c>
      <c r="B69" s="11"/>
      <c r="C69" s="12" t="s">
        <v>106</v>
      </c>
      <c r="D69" s="13">
        <f>SUMIF('INGRESOS REALES '!$C$4:$C$65,A69,'INGRESOS REALES '!$R$4:$R$65)</f>
        <v>0</v>
      </c>
      <c r="E69" s="13">
        <v>0</v>
      </c>
      <c r="F69" s="13">
        <f>SUMIF('INGRESOS REALES '!$C$4:$C$65,A69,'INGRESOS REALES '!$Q$4:$Q$65)</f>
        <v>0</v>
      </c>
      <c r="G69" s="111">
        <f t="shared" ref="G69" si="12">D69*1.04</f>
        <v>0</v>
      </c>
      <c r="I69" s="7" t="s">
        <v>246</v>
      </c>
      <c r="J69" s="108">
        <v>42197418.060000002</v>
      </c>
      <c r="L69" s="105"/>
      <c r="N69" s="115" t="s">
        <v>254</v>
      </c>
      <c r="O69" s="116">
        <v>4424704.4399999995</v>
      </c>
    </row>
    <row r="70" spans="1:15" s="7" customFormat="1" ht="19.5" customHeight="1" x14ac:dyDescent="0.2">
      <c r="A70" s="64"/>
      <c r="B70" s="4"/>
      <c r="C70" s="4"/>
      <c r="D70" s="4"/>
      <c r="E70" s="4"/>
      <c r="F70" s="4"/>
      <c r="G70" s="4"/>
      <c r="I70" s="7" t="s">
        <v>247</v>
      </c>
      <c r="J70" s="108">
        <v>23587803.189999998</v>
      </c>
      <c r="L70" s="105"/>
      <c r="N70" s="117" t="s">
        <v>320</v>
      </c>
      <c r="O70" s="116">
        <v>246092.08</v>
      </c>
    </row>
    <row r="71" spans="1:15" s="7" customFormat="1" ht="19.5" customHeight="1" x14ac:dyDescent="0.2">
      <c r="A71" s="64"/>
      <c r="B71" s="4"/>
      <c r="C71" s="4"/>
      <c r="D71" s="4"/>
      <c r="E71" s="4"/>
      <c r="F71" s="4"/>
      <c r="G71" s="4"/>
      <c r="I71" s="7" t="s">
        <v>248</v>
      </c>
      <c r="J71" s="108">
        <v>2661363.75</v>
      </c>
      <c r="L71" s="105"/>
      <c r="N71" s="117" t="s">
        <v>321</v>
      </c>
      <c r="O71" s="116">
        <v>4188986.3600000008</v>
      </c>
    </row>
    <row r="72" spans="1:15" s="7" customFormat="1" ht="19.5" customHeight="1" x14ac:dyDescent="0.2">
      <c r="A72" s="64"/>
      <c r="B72" s="4"/>
      <c r="C72" s="4"/>
      <c r="D72" s="4"/>
      <c r="E72" s="4"/>
      <c r="F72" s="4"/>
      <c r="G72" s="4"/>
      <c r="I72" s="7" t="s">
        <v>249</v>
      </c>
      <c r="J72" s="108">
        <v>2866729.7800000003</v>
      </c>
      <c r="L72" s="105"/>
      <c r="N72" s="113" t="s">
        <v>322</v>
      </c>
      <c r="O72" s="114">
        <v>268700639.42999995</v>
      </c>
    </row>
    <row r="73" spans="1:15" s="7" customFormat="1" ht="19.5" customHeight="1" x14ac:dyDescent="0.2">
      <c r="A73" s="64"/>
      <c r="B73" s="4"/>
      <c r="C73" s="4"/>
      <c r="D73" s="4"/>
      <c r="E73" s="4"/>
      <c r="F73" s="4"/>
      <c r="G73" s="4"/>
      <c r="I73" s="7" t="s">
        <v>250</v>
      </c>
      <c r="J73" s="108">
        <v>1205822.22</v>
      </c>
      <c r="L73" s="105"/>
      <c r="N73" s="115" t="s">
        <v>258</v>
      </c>
      <c r="O73" s="116">
        <v>144978908.35000002</v>
      </c>
    </row>
    <row r="74" spans="1:15" s="7" customFormat="1" ht="19.5" customHeight="1" x14ac:dyDescent="0.2">
      <c r="A74" s="64"/>
      <c r="B74" s="4"/>
      <c r="C74" s="4"/>
      <c r="D74" s="4"/>
      <c r="E74" s="4"/>
      <c r="F74" s="4"/>
      <c r="G74" s="4"/>
      <c r="I74" s="7" t="s">
        <v>251</v>
      </c>
      <c r="J74" s="108">
        <v>3674112.05</v>
      </c>
      <c r="L74" s="105"/>
      <c r="N74" s="117" t="s">
        <v>323</v>
      </c>
      <c r="O74" s="116">
        <v>730.41</v>
      </c>
    </row>
    <row r="75" spans="1:15" s="7" customFormat="1" ht="19.5" customHeight="1" x14ac:dyDescent="0.2">
      <c r="A75" s="64"/>
      <c r="B75" s="4"/>
      <c r="C75" s="4"/>
      <c r="D75" s="4"/>
      <c r="E75" s="4"/>
      <c r="F75" s="4"/>
      <c r="G75" s="4"/>
      <c r="I75" s="7" t="s">
        <v>252</v>
      </c>
      <c r="J75" s="108">
        <v>956733.55</v>
      </c>
      <c r="L75" s="105"/>
      <c r="N75" s="117" t="s">
        <v>324</v>
      </c>
      <c r="O75" s="116">
        <v>13724708.899999997</v>
      </c>
    </row>
    <row r="76" spans="1:15" ht="45" x14ac:dyDescent="0.2">
      <c r="I76" s="4" t="s">
        <v>253</v>
      </c>
      <c r="J76" s="107">
        <v>1156353</v>
      </c>
      <c r="N76" s="117" t="s">
        <v>325</v>
      </c>
      <c r="O76" s="116">
        <v>89476512.109999999</v>
      </c>
    </row>
    <row r="77" spans="1:15" ht="18" x14ac:dyDescent="0.2">
      <c r="I77" s="4" t="s">
        <v>254</v>
      </c>
      <c r="J77" s="107">
        <v>4424704.4400000004</v>
      </c>
      <c r="N77" s="117" t="s">
        <v>326</v>
      </c>
      <c r="O77" s="116">
        <v>41776956.93</v>
      </c>
    </row>
    <row r="78" spans="1:15" ht="18" x14ac:dyDescent="0.2">
      <c r="I78" s="4" t="s">
        <v>255</v>
      </c>
      <c r="J78" s="107">
        <v>246092.08000000002</v>
      </c>
      <c r="L78" s="106">
        <f>1557405.7*10</f>
        <v>15574057</v>
      </c>
      <c r="N78" s="115" t="s">
        <v>327</v>
      </c>
      <c r="O78" s="116">
        <v>123721731.08</v>
      </c>
    </row>
    <row r="79" spans="1:15" ht="27" x14ac:dyDescent="0.2">
      <c r="I79" s="4" t="s">
        <v>256</v>
      </c>
      <c r="J79" s="107">
        <v>10374</v>
      </c>
      <c r="L79" s="106">
        <f>8215315.42*12</f>
        <v>98583785.039999992</v>
      </c>
      <c r="N79" s="117" t="s">
        <v>328</v>
      </c>
      <c r="O79" s="116">
        <v>14079466.120000003</v>
      </c>
    </row>
    <row r="80" spans="1:15" ht="18" x14ac:dyDescent="0.2">
      <c r="I80" s="4" t="s">
        <v>257</v>
      </c>
      <c r="J80" s="107">
        <v>4188986.3600000003</v>
      </c>
      <c r="L80" s="106">
        <f>SUM(L78:L79)</f>
        <v>114157842.03999999</v>
      </c>
      <c r="N80" s="117" t="s">
        <v>329</v>
      </c>
      <c r="O80" s="116">
        <v>11968273.900000002</v>
      </c>
    </row>
    <row r="81" spans="9:15" ht="45" x14ac:dyDescent="0.2">
      <c r="I81" s="4" t="s">
        <v>91</v>
      </c>
      <c r="J81" s="107">
        <v>268700639.43000001</v>
      </c>
      <c r="N81" s="117" t="s">
        <v>330</v>
      </c>
      <c r="O81" s="116">
        <v>521922</v>
      </c>
    </row>
    <row r="82" spans="9:15" ht="27" x14ac:dyDescent="0.2">
      <c r="I82" s="4" t="s">
        <v>258</v>
      </c>
      <c r="J82" s="107">
        <v>144978908.34999999</v>
      </c>
      <c r="N82" s="117" t="s">
        <v>331</v>
      </c>
      <c r="O82" s="116">
        <v>97152069.060000017</v>
      </c>
    </row>
    <row r="83" spans="9:15" ht="27" x14ac:dyDescent="0.2">
      <c r="I83" s="4" t="s">
        <v>259</v>
      </c>
      <c r="J83" s="107">
        <v>13724708.9</v>
      </c>
      <c r="N83" s="117" t="s">
        <v>332</v>
      </c>
      <c r="O83" s="116">
        <v>0</v>
      </c>
    </row>
    <row r="84" spans="9:15" x14ac:dyDescent="0.2">
      <c r="I84" s="4" t="s">
        <v>260</v>
      </c>
      <c r="J84" s="107">
        <v>89476512.109999999</v>
      </c>
      <c r="N84" s="118" t="s">
        <v>50</v>
      </c>
      <c r="O84" s="119">
        <v>428828006.20999992</v>
      </c>
    </row>
    <row r="85" spans="9:15" x14ac:dyDescent="0.2">
      <c r="I85" s="4" t="s">
        <v>261</v>
      </c>
      <c r="J85" s="107">
        <v>41776956.93</v>
      </c>
    </row>
    <row r="86" spans="9:15" x14ac:dyDescent="0.2">
      <c r="I86" s="4" t="s">
        <v>262</v>
      </c>
      <c r="J86" s="107">
        <v>123721731.08000001</v>
      </c>
    </row>
    <row r="87" spans="9:15" x14ac:dyDescent="0.2">
      <c r="I87" s="4" t="s">
        <v>263</v>
      </c>
      <c r="J87" s="107">
        <v>14079466.120000001</v>
      </c>
    </row>
    <row r="88" spans="9:15" x14ac:dyDescent="0.2">
      <c r="I88" s="4" t="s">
        <v>264</v>
      </c>
      <c r="J88" s="107">
        <v>11968273.9</v>
      </c>
    </row>
    <row r="89" spans="9:15" x14ac:dyDescent="0.2">
      <c r="I89" s="4" t="s">
        <v>265</v>
      </c>
      <c r="J89" s="107">
        <v>521922</v>
      </c>
    </row>
    <row r="90" spans="9:15" x14ac:dyDescent="0.2">
      <c r="I90" s="4" t="s">
        <v>266</v>
      </c>
      <c r="J90" s="107">
        <v>97152069.060000002</v>
      </c>
    </row>
    <row r="91" spans="9:15" x14ac:dyDescent="0.2">
      <c r="I91" s="4" t="s">
        <v>267</v>
      </c>
      <c r="J91" s="107">
        <v>3000000</v>
      </c>
    </row>
  </sheetData>
  <mergeCells count="16">
    <mergeCell ref="G35:G36"/>
    <mergeCell ref="G24:G25"/>
    <mergeCell ref="D30:D31"/>
    <mergeCell ref="G30:G31"/>
    <mergeCell ref="D18:D19"/>
    <mergeCell ref="G18:G19"/>
    <mergeCell ref="C18:C19"/>
    <mergeCell ref="B52:C52"/>
    <mergeCell ref="B58:C58"/>
    <mergeCell ref="B2:E2"/>
    <mergeCell ref="B3:E3"/>
    <mergeCell ref="B4:E4"/>
    <mergeCell ref="B7:C7"/>
    <mergeCell ref="B8:C8"/>
    <mergeCell ref="D24:D25"/>
    <mergeCell ref="D35:D36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showGridLines="0" workbookViewId="0">
      <selection activeCell="B12" sqref="B12"/>
    </sheetView>
  </sheetViews>
  <sheetFormatPr baseColWidth="10" defaultColWidth="11.42578125" defaultRowHeight="15" x14ac:dyDescent="0.25"/>
  <cols>
    <col min="1" max="1" width="49.85546875" bestFit="1" customWidth="1"/>
    <col min="2" max="2" width="15" bestFit="1" customWidth="1"/>
    <col min="3" max="7" width="12.85546875" customWidth="1"/>
    <col min="9" max="9" width="16.7109375" bestFit="1" customWidth="1"/>
  </cols>
  <sheetData>
    <row r="1" spans="1:7" x14ac:dyDescent="0.25">
      <c r="A1" s="151" t="s">
        <v>108</v>
      </c>
      <c r="B1" s="151"/>
      <c r="C1" s="151"/>
      <c r="D1" s="151"/>
      <c r="E1" s="151"/>
      <c r="F1" s="151"/>
      <c r="G1" s="151"/>
    </row>
    <row r="2" spans="1:7" x14ac:dyDescent="0.25">
      <c r="A2" s="151" t="s">
        <v>109</v>
      </c>
      <c r="B2" s="151"/>
      <c r="C2" s="151"/>
      <c r="D2" s="151"/>
      <c r="E2" s="151"/>
      <c r="F2" s="151"/>
      <c r="G2" s="151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152" t="s">
        <v>145</v>
      </c>
      <c r="B4" s="153"/>
      <c r="C4" s="153"/>
      <c r="D4" s="153"/>
      <c r="E4" s="153"/>
      <c r="F4" s="153"/>
      <c r="G4" s="154"/>
    </row>
    <row r="5" spans="1:7" x14ac:dyDescent="0.25">
      <c r="A5" s="155" t="s">
        <v>269</v>
      </c>
      <c r="B5" s="156"/>
      <c r="C5" s="156"/>
      <c r="D5" s="156"/>
      <c r="E5" s="156"/>
      <c r="F5" s="156"/>
      <c r="G5" s="157"/>
    </row>
    <row r="6" spans="1:7" x14ac:dyDescent="0.25">
      <c r="A6" s="158" t="s">
        <v>110</v>
      </c>
      <c r="B6" s="159"/>
      <c r="C6" s="159"/>
      <c r="D6" s="159"/>
      <c r="E6" s="159"/>
      <c r="F6" s="159"/>
      <c r="G6" s="160"/>
    </row>
    <row r="7" spans="1:7" x14ac:dyDescent="0.25">
      <c r="A7" s="148" t="s">
        <v>111</v>
      </c>
      <c r="B7" s="149"/>
      <c r="C7" s="149"/>
      <c r="D7" s="149"/>
      <c r="E7" s="149"/>
      <c r="F7" s="149"/>
      <c r="G7" s="150"/>
    </row>
    <row r="8" spans="1:7" ht="15" customHeight="1" x14ac:dyDescent="0.25">
      <c r="A8" s="143" t="s">
        <v>112</v>
      </c>
      <c r="B8" s="145" t="s">
        <v>333</v>
      </c>
      <c r="C8" s="141">
        <v>2025</v>
      </c>
      <c r="D8" s="141" t="s">
        <v>146</v>
      </c>
      <c r="E8" s="141" t="s">
        <v>147</v>
      </c>
      <c r="F8" s="141" t="s">
        <v>113</v>
      </c>
      <c r="G8" s="137" t="s">
        <v>114</v>
      </c>
    </row>
    <row r="9" spans="1:7" x14ac:dyDescent="0.25">
      <c r="A9" s="144"/>
      <c r="B9" s="146"/>
      <c r="C9" s="142"/>
      <c r="D9" s="142"/>
      <c r="E9" s="142"/>
      <c r="F9" s="142"/>
      <c r="G9" s="138"/>
    </row>
    <row r="10" spans="1:7" x14ac:dyDescent="0.25">
      <c r="A10" s="144"/>
      <c r="B10" s="146"/>
      <c r="C10" s="142"/>
      <c r="D10" s="142"/>
      <c r="E10" s="142"/>
      <c r="F10" s="142"/>
      <c r="G10" s="138"/>
    </row>
    <row r="11" spans="1:7" x14ac:dyDescent="0.25">
      <c r="A11" s="144"/>
      <c r="B11" s="147"/>
      <c r="C11" s="142"/>
      <c r="D11" s="142"/>
      <c r="E11" s="142"/>
      <c r="F11" s="142"/>
      <c r="G11" s="138"/>
    </row>
    <row r="12" spans="1:7" x14ac:dyDescent="0.25">
      <c r="A12" s="28"/>
      <c r="B12" s="29"/>
      <c r="C12" s="29"/>
      <c r="D12" s="29"/>
      <c r="E12" s="29"/>
      <c r="F12" s="29"/>
      <c r="G12" s="30"/>
    </row>
    <row r="13" spans="1:7" x14ac:dyDescent="0.25">
      <c r="A13" s="43" t="s">
        <v>115</v>
      </c>
      <c r="B13" s="139">
        <f>SUM(B15:B26)</f>
        <v>173879808.76624</v>
      </c>
      <c r="C13" s="139">
        <f>SUM(C15:C26)</f>
        <v>179096203.0292272</v>
      </c>
      <c r="D13" s="139">
        <f t="shared" ref="D13:G13" si="0">SUM(D15:D26)</f>
        <v>0</v>
      </c>
      <c r="E13" s="139">
        <f t="shared" si="0"/>
        <v>0</v>
      </c>
      <c r="F13" s="139">
        <f t="shared" si="0"/>
        <v>0</v>
      </c>
      <c r="G13" s="140">
        <f t="shared" si="0"/>
        <v>0</v>
      </c>
    </row>
    <row r="14" spans="1:7" x14ac:dyDescent="0.25">
      <c r="A14" s="44" t="s">
        <v>116</v>
      </c>
      <c r="B14" s="139"/>
      <c r="C14" s="139"/>
      <c r="D14" s="139"/>
      <c r="E14" s="139"/>
      <c r="F14" s="139"/>
      <c r="G14" s="140"/>
    </row>
    <row r="15" spans="1:7" x14ac:dyDescent="0.25">
      <c r="A15" s="31" t="s">
        <v>117</v>
      </c>
      <c r="B15" s="32">
        <f>'CONAC '!G9</f>
        <v>45800000</v>
      </c>
      <c r="C15" s="33">
        <f t="shared" ref="C15:C27" si="1">+B15*1.03</f>
        <v>47174000</v>
      </c>
      <c r="D15" s="33">
        <v>0</v>
      </c>
      <c r="E15" s="33">
        <f t="shared" ref="E15" si="2">+D15*1.03</f>
        <v>0</v>
      </c>
      <c r="F15" s="33">
        <v>0</v>
      </c>
      <c r="G15" s="34">
        <v>0</v>
      </c>
    </row>
    <row r="16" spans="1:7" x14ac:dyDescent="0.25">
      <c r="A16" s="31" t="s">
        <v>118</v>
      </c>
      <c r="B16" s="33">
        <v>0</v>
      </c>
      <c r="C16" s="33">
        <f t="shared" si="1"/>
        <v>0</v>
      </c>
      <c r="D16" s="33">
        <v>0</v>
      </c>
      <c r="E16" s="33">
        <f t="shared" ref="E16:G26" si="3">+D16*1.03</f>
        <v>0</v>
      </c>
      <c r="F16" s="33">
        <v>0</v>
      </c>
      <c r="G16" s="34">
        <v>0</v>
      </c>
    </row>
    <row r="17" spans="1:9" x14ac:dyDescent="0.25">
      <c r="A17" s="31" t="s">
        <v>119</v>
      </c>
      <c r="B17" s="33">
        <f>'INGRESOS REALES '!R11</f>
        <v>18087.68</v>
      </c>
      <c r="C17" s="33">
        <f t="shared" si="1"/>
        <v>18630.310400000002</v>
      </c>
      <c r="D17" s="33">
        <v>0</v>
      </c>
      <c r="E17" s="33">
        <f t="shared" si="3"/>
        <v>0</v>
      </c>
      <c r="F17" s="33">
        <v>0</v>
      </c>
      <c r="G17" s="34">
        <v>0</v>
      </c>
    </row>
    <row r="18" spans="1:9" x14ac:dyDescent="0.25">
      <c r="A18" s="31" t="s">
        <v>120</v>
      </c>
      <c r="B18" s="33">
        <f>'INGRESOS REALES '!R13</f>
        <v>6542260.9262399999</v>
      </c>
      <c r="C18" s="33">
        <f t="shared" si="1"/>
        <v>6738528.7540271999</v>
      </c>
      <c r="D18" s="33">
        <v>0</v>
      </c>
      <c r="E18" s="33">
        <f t="shared" si="3"/>
        <v>0</v>
      </c>
      <c r="F18" s="33">
        <v>0</v>
      </c>
      <c r="G18" s="34">
        <v>0</v>
      </c>
    </row>
    <row r="19" spans="1:9" x14ac:dyDescent="0.25">
      <c r="A19" s="31" t="s">
        <v>121</v>
      </c>
      <c r="B19" s="33">
        <f>'INGRESOS REALES '!R26</f>
        <v>908821.68</v>
      </c>
      <c r="C19" s="33">
        <f t="shared" si="1"/>
        <v>936086.33040000009</v>
      </c>
      <c r="D19" s="33">
        <v>0</v>
      </c>
      <c r="E19" s="33">
        <f t="shared" si="3"/>
        <v>0</v>
      </c>
      <c r="F19" s="33">
        <v>0</v>
      </c>
      <c r="G19" s="34">
        <v>0</v>
      </c>
    </row>
    <row r="20" spans="1:9" x14ac:dyDescent="0.25">
      <c r="A20" s="31" t="s">
        <v>122</v>
      </c>
      <c r="B20" s="33">
        <f>'INGRESOS REALES '!R32</f>
        <v>15520322.48</v>
      </c>
      <c r="C20" s="33">
        <f t="shared" si="1"/>
        <v>15985932.1544</v>
      </c>
      <c r="D20" s="33">
        <v>0</v>
      </c>
      <c r="E20" s="33">
        <f t="shared" si="3"/>
        <v>0</v>
      </c>
      <c r="F20" s="33">
        <v>0</v>
      </c>
      <c r="G20" s="34">
        <v>0</v>
      </c>
    </row>
    <row r="21" spans="1:9" x14ac:dyDescent="0.25">
      <c r="A21" s="31" t="s">
        <v>123</v>
      </c>
      <c r="B21" s="33">
        <f>SUM('CONAC '!D42)</f>
        <v>0</v>
      </c>
      <c r="C21" s="33">
        <f t="shared" si="1"/>
        <v>0</v>
      </c>
      <c r="D21" s="33">
        <v>0</v>
      </c>
      <c r="E21" s="33">
        <f t="shared" si="3"/>
        <v>0</v>
      </c>
      <c r="F21" s="33">
        <f t="shared" si="3"/>
        <v>0</v>
      </c>
      <c r="G21" s="34">
        <f t="shared" si="3"/>
        <v>0</v>
      </c>
    </row>
    <row r="22" spans="1:9" x14ac:dyDescent="0.25">
      <c r="A22" s="31" t="s">
        <v>124</v>
      </c>
      <c r="B22" s="33">
        <v>44755601</v>
      </c>
      <c r="C22" s="33">
        <f t="shared" si="1"/>
        <v>46098269.030000001</v>
      </c>
      <c r="D22" s="33">
        <v>0</v>
      </c>
      <c r="E22" s="33">
        <f t="shared" si="3"/>
        <v>0</v>
      </c>
      <c r="F22" s="33">
        <v>0</v>
      </c>
      <c r="G22" s="34">
        <v>0</v>
      </c>
    </row>
    <row r="23" spans="1:9" x14ac:dyDescent="0.25">
      <c r="A23" s="31" t="s">
        <v>125</v>
      </c>
      <c r="B23" s="33">
        <v>0</v>
      </c>
      <c r="C23" s="33">
        <f t="shared" si="1"/>
        <v>0</v>
      </c>
      <c r="D23" s="33">
        <v>0</v>
      </c>
      <c r="E23" s="33">
        <f t="shared" si="3"/>
        <v>0</v>
      </c>
      <c r="F23" s="33">
        <v>0</v>
      </c>
      <c r="G23" s="34">
        <v>0</v>
      </c>
      <c r="I23" s="35"/>
    </row>
    <row r="24" spans="1:9" x14ac:dyDescent="0.25">
      <c r="A24" s="31" t="s">
        <v>126</v>
      </c>
      <c r="B24" s="33">
        <f>SUM('CONAC '!D58)</f>
        <v>0</v>
      </c>
      <c r="C24" s="33">
        <f t="shared" si="1"/>
        <v>0</v>
      </c>
      <c r="D24" s="33">
        <v>0</v>
      </c>
      <c r="E24" s="33">
        <f t="shared" si="3"/>
        <v>0</v>
      </c>
      <c r="F24" s="33">
        <v>0</v>
      </c>
      <c r="G24" s="34">
        <v>0</v>
      </c>
      <c r="I24" s="36"/>
    </row>
    <row r="25" spans="1:9" x14ac:dyDescent="0.25">
      <c r="A25" s="31" t="s">
        <v>127</v>
      </c>
      <c r="B25" s="33">
        <v>60334715</v>
      </c>
      <c r="C25" s="33">
        <f t="shared" si="1"/>
        <v>62144756.450000003</v>
      </c>
      <c r="D25" s="33">
        <v>0</v>
      </c>
      <c r="E25" s="33">
        <f t="shared" si="3"/>
        <v>0</v>
      </c>
      <c r="F25" s="33">
        <v>0</v>
      </c>
      <c r="G25" s="34">
        <v>0</v>
      </c>
    </row>
    <row r="26" spans="1:9" x14ac:dyDescent="0.25">
      <c r="A26" s="31" t="s">
        <v>128</v>
      </c>
      <c r="B26" s="33">
        <v>0</v>
      </c>
      <c r="C26" s="33">
        <f t="shared" si="1"/>
        <v>0</v>
      </c>
      <c r="D26" s="33">
        <v>0</v>
      </c>
      <c r="E26" s="33">
        <f t="shared" si="3"/>
        <v>0</v>
      </c>
      <c r="F26" s="33">
        <v>0</v>
      </c>
      <c r="G26" s="34">
        <v>0</v>
      </c>
      <c r="I26" s="35"/>
    </row>
    <row r="27" spans="1:9" x14ac:dyDescent="0.25">
      <c r="A27" s="37"/>
      <c r="B27" s="33"/>
      <c r="C27" s="33">
        <f t="shared" si="1"/>
        <v>0</v>
      </c>
      <c r="D27" s="33"/>
      <c r="E27" s="33"/>
      <c r="F27" s="33"/>
      <c r="G27" s="34"/>
      <c r="I27" s="36"/>
    </row>
    <row r="28" spans="1:9" x14ac:dyDescent="0.25">
      <c r="A28" s="43" t="s">
        <v>129</v>
      </c>
      <c r="B28" s="45">
        <f>SUM(B29:B34)</f>
        <v>44980805</v>
      </c>
      <c r="C28" s="45">
        <f>SUM(C29:C34)</f>
        <v>46330229.149999999</v>
      </c>
      <c r="D28" s="45">
        <f t="shared" ref="D28:G28" si="4">SUM(D29:D34)</f>
        <v>0</v>
      </c>
      <c r="E28" s="45">
        <f t="shared" si="4"/>
        <v>0</v>
      </c>
      <c r="F28" s="45">
        <f t="shared" si="4"/>
        <v>0</v>
      </c>
      <c r="G28" s="46">
        <f t="shared" si="4"/>
        <v>0</v>
      </c>
    </row>
    <row r="29" spans="1:9" x14ac:dyDescent="0.25">
      <c r="A29" s="31" t="s">
        <v>130</v>
      </c>
      <c r="B29" s="33">
        <v>44980805</v>
      </c>
      <c r="C29" s="33">
        <f>+B29*1.03</f>
        <v>46330229.149999999</v>
      </c>
      <c r="D29" s="33">
        <v>0</v>
      </c>
      <c r="E29" s="33">
        <f t="shared" ref="C29:G34" si="5">+D29*1.03</f>
        <v>0</v>
      </c>
      <c r="F29" s="33">
        <v>0</v>
      </c>
      <c r="G29" s="34">
        <v>0</v>
      </c>
    </row>
    <row r="30" spans="1:9" x14ac:dyDescent="0.25">
      <c r="A30" s="31" t="s">
        <v>131</v>
      </c>
      <c r="B30" s="33">
        <v>0</v>
      </c>
      <c r="C30" s="33">
        <f t="shared" si="5"/>
        <v>0</v>
      </c>
      <c r="D30" s="33">
        <v>0</v>
      </c>
      <c r="E30" s="33">
        <f t="shared" si="5"/>
        <v>0</v>
      </c>
      <c r="F30" s="33">
        <f t="shared" si="5"/>
        <v>0</v>
      </c>
      <c r="G30" s="34">
        <f t="shared" si="5"/>
        <v>0</v>
      </c>
    </row>
    <row r="31" spans="1:9" x14ac:dyDescent="0.25">
      <c r="A31" s="31" t="s">
        <v>132</v>
      </c>
      <c r="B31" s="33">
        <v>0</v>
      </c>
      <c r="C31" s="33">
        <f t="shared" si="5"/>
        <v>0</v>
      </c>
      <c r="D31" s="33">
        <v>0</v>
      </c>
      <c r="E31" s="33">
        <f t="shared" si="5"/>
        <v>0</v>
      </c>
      <c r="F31" s="33">
        <f t="shared" si="5"/>
        <v>0</v>
      </c>
      <c r="G31" s="34">
        <f t="shared" si="5"/>
        <v>0</v>
      </c>
    </row>
    <row r="32" spans="1:9" x14ac:dyDescent="0.25">
      <c r="A32" s="31" t="s">
        <v>133</v>
      </c>
      <c r="B32" s="136">
        <v>0</v>
      </c>
      <c r="C32" s="33">
        <f t="shared" si="5"/>
        <v>0</v>
      </c>
      <c r="D32" s="33">
        <v>0</v>
      </c>
      <c r="E32" s="33">
        <f t="shared" si="5"/>
        <v>0</v>
      </c>
      <c r="F32" s="33">
        <f t="shared" si="5"/>
        <v>0</v>
      </c>
      <c r="G32" s="34">
        <f t="shared" si="5"/>
        <v>0</v>
      </c>
    </row>
    <row r="33" spans="1:7" x14ac:dyDescent="0.25">
      <c r="A33" s="31" t="s">
        <v>134</v>
      </c>
      <c r="B33" s="136"/>
      <c r="C33" s="33">
        <f t="shared" si="5"/>
        <v>0</v>
      </c>
      <c r="D33" s="33">
        <v>0</v>
      </c>
      <c r="E33" s="33">
        <f t="shared" si="5"/>
        <v>0</v>
      </c>
      <c r="F33" s="33">
        <f t="shared" si="5"/>
        <v>0</v>
      </c>
      <c r="G33" s="34">
        <f t="shared" si="5"/>
        <v>0</v>
      </c>
    </row>
    <row r="34" spans="1:7" x14ac:dyDescent="0.25">
      <c r="A34" s="31" t="s">
        <v>135</v>
      </c>
      <c r="B34" s="33">
        <v>0</v>
      </c>
      <c r="C34" s="33">
        <f t="shared" si="5"/>
        <v>0</v>
      </c>
      <c r="D34" s="33">
        <v>0</v>
      </c>
      <c r="E34" s="33">
        <f t="shared" si="5"/>
        <v>0</v>
      </c>
      <c r="F34" s="33">
        <f t="shared" si="5"/>
        <v>0</v>
      </c>
      <c r="G34" s="34">
        <f t="shared" si="5"/>
        <v>0</v>
      </c>
    </row>
    <row r="35" spans="1:7" x14ac:dyDescent="0.25">
      <c r="A35" s="38"/>
      <c r="B35" s="39"/>
      <c r="C35" s="39"/>
      <c r="D35" s="39"/>
      <c r="E35" s="39"/>
      <c r="F35" s="39"/>
      <c r="G35" s="40"/>
    </row>
    <row r="36" spans="1:7" x14ac:dyDescent="0.25">
      <c r="A36" s="43" t="s">
        <v>136</v>
      </c>
      <c r="B36" s="45">
        <f>+B37</f>
        <v>0</v>
      </c>
      <c r="C36" s="45">
        <f>+C37</f>
        <v>0</v>
      </c>
      <c r="D36" s="45"/>
      <c r="E36" s="45"/>
      <c r="F36" s="45"/>
      <c r="G36" s="45"/>
    </row>
    <row r="37" spans="1:7" x14ac:dyDescent="0.25">
      <c r="A37" s="31" t="s">
        <v>137</v>
      </c>
      <c r="B37" s="33">
        <v>0</v>
      </c>
      <c r="C37" s="33">
        <v>0</v>
      </c>
      <c r="D37" s="33"/>
      <c r="E37" s="33"/>
      <c r="F37" s="33"/>
      <c r="G37" s="33"/>
    </row>
    <row r="38" spans="1:7" x14ac:dyDescent="0.25">
      <c r="A38" s="37"/>
      <c r="B38" s="41"/>
      <c r="C38" s="41"/>
      <c r="D38" s="41"/>
      <c r="E38" s="41"/>
      <c r="F38" s="41"/>
      <c r="G38" s="41"/>
    </row>
    <row r="39" spans="1:7" x14ac:dyDescent="0.25">
      <c r="A39" s="43" t="s">
        <v>138</v>
      </c>
      <c r="B39" s="47">
        <f>+B13+B28+B36</f>
        <v>218860613.76624</v>
      </c>
      <c r="C39" s="47">
        <f>+C13+C28+C36</f>
        <v>225426432.1792272</v>
      </c>
      <c r="D39" s="47">
        <f t="shared" ref="D39:G39" si="6">+D13+D28+D36</f>
        <v>0</v>
      </c>
      <c r="E39" s="47">
        <f t="shared" si="6"/>
        <v>0</v>
      </c>
      <c r="F39" s="47">
        <f t="shared" si="6"/>
        <v>0</v>
      </c>
      <c r="G39" s="47">
        <f t="shared" si="6"/>
        <v>0</v>
      </c>
    </row>
    <row r="40" spans="1:7" x14ac:dyDescent="0.25">
      <c r="A40" s="37"/>
      <c r="B40" s="41"/>
      <c r="C40" s="41"/>
      <c r="D40" s="41"/>
      <c r="E40" s="41"/>
      <c r="F40" s="41"/>
      <c r="G40" s="41"/>
    </row>
    <row r="41" spans="1:7" x14ac:dyDescent="0.25">
      <c r="A41" s="42" t="s">
        <v>139</v>
      </c>
      <c r="B41" s="33"/>
      <c r="C41" s="33"/>
      <c r="D41" s="33"/>
      <c r="E41" s="33"/>
      <c r="F41" s="33"/>
      <c r="G41" s="33"/>
    </row>
    <row r="42" spans="1:7" x14ac:dyDescent="0.25">
      <c r="A42" s="37" t="s">
        <v>140</v>
      </c>
      <c r="B42" s="136"/>
      <c r="C42" s="136"/>
      <c r="D42" s="136"/>
      <c r="E42" s="136"/>
      <c r="F42" s="136"/>
      <c r="G42" s="136"/>
    </row>
    <row r="43" spans="1:7" x14ac:dyDescent="0.25">
      <c r="A43" s="37" t="s">
        <v>141</v>
      </c>
      <c r="B43" s="136"/>
      <c r="C43" s="136"/>
      <c r="D43" s="136"/>
      <c r="E43" s="136"/>
      <c r="F43" s="136"/>
      <c r="G43" s="136"/>
    </row>
    <row r="44" spans="1:7" x14ac:dyDescent="0.25">
      <c r="A44" s="37" t="s">
        <v>142</v>
      </c>
      <c r="B44" s="136"/>
      <c r="C44" s="136"/>
      <c r="D44" s="136"/>
      <c r="E44" s="136"/>
      <c r="F44" s="136"/>
      <c r="G44" s="136"/>
    </row>
    <row r="45" spans="1:7" x14ac:dyDescent="0.25">
      <c r="A45" s="37" t="s">
        <v>143</v>
      </c>
      <c r="B45" s="136"/>
      <c r="C45" s="136"/>
      <c r="D45" s="136"/>
      <c r="E45" s="136"/>
      <c r="F45" s="136"/>
      <c r="G45" s="136"/>
    </row>
    <row r="46" spans="1:7" x14ac:dyDescent="0.25">
      <c r="A46" s="48" t="s">
        <v>144</v>
      </c>
      <c r="B46" s="49">
        <f>+B42+B44</f>
        <v>0</v>
      </c>
      <c r="C46" s="49">
        <f t="shared" ref="C46:G46" si="7">+C42+C44</f>
        <v>0</v>
      </c>
      <c r="D46" s="49">
        <f t="shared" si="7"/>
        <v>0</v>
      </c>
      <c r="E46" s="49">
        <f t="shared" si="7"/>
        <v>0</v>
      </c>
      <c r="F46" s="49">
        <f t="shared" si="7"/>
        <v>0</v>
      </c>
      <c r="G46" s="49">
        <f t="shared" si="7"/>
        <v>0</v>
      </c>
    </row>
  </sheetData>
  <mergeCells count="32">
    <mergeCell ref="A7:G7"/>
    <mergeCell ref="A1:G1"/>
    <mergeCell ref="A2:G2"/>
    <mergeCell ref="A4:G4"/>
    <mergeCell ref="A5:G5"/>
    <mergeCell ref="A6:G6"/>
    <mergeCell ref="A8:A11"/>
    <mergeCell ref="B8:B11"/>
    <mergeCell ref="C8:C11"/>
    <mergeCell ref="D8:D11"/>
    <mergeCell ref="E8:E11"/>
    <mergeCell ref="G8:G11"/>
    <mergeCell ref="B13:B14"/>
    <mergeCell ref="C13:C14"/>
    <mergeCell ref="D13:D14"/>
    <mergeCell ref="E13:E14"/>
    <mergeCell ref="F13:F14"/>
    <mergeCell ref="G13:G14"/>
    <mergeCell ref="F8:F11"/>
    <mergeCell ref="B32:B33"/>
    <mergeCell ref="B42:B43"/>
    <mergeCell ref="C42:C43"/>
    <mergeCell ref="D42:D43"/>
    <mergeCell ref="E42:E43"/>
    <mergeCell ref="G42:G43"/>
    <mergeCell ref="B44:B45"/>
    <mergeCell ref="C44:C45"/>
    <mergeCell ref="D44:D45"/>
    <mergeCell ref="E44:E45"/>
    <mergeCell ref="F44:F45"/>
    <mergeCell ref="G44:G45"/>
    <mergeCell ref="F42:F43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9"/>
  <sheetViews>
    <sheetView showGridLines="0" topLeftCell="A7" workbookViewId="0">
      <selection activeCell="F12" sqref="F12"/>
    </sheetView>
  </sheetViews>
  <sheetFormatPr baseColWidth="10" defaultColWidth="11.42578125" defaultRowHeight="15" x14ac:dyDescent="0.25"/>
  <cols>
    <col min="1" max="1" width="45.140625" customWidth="1"/>
    <col min="2" max="2" width="15" bestFit="1" customWidth="1"/>
    <col min="3" max="7" width="12.85546875" customWidth="1"/>
    <col min="9" max="9" width="16.7109375" bestFit="1" customWidth="1"/>
  </cols>
  <sheetData>
    <row r="1" spans="1:7" x14ac:dyDescent="0.25">
      <c r="A1" s="151" t="s">
        <v>108</v>
      </c>
      <c r="B1" s="151"/>
      <c r="C1" s="151"/>
      <c r="D1" s="151"/>
      <c r="E1" s="151"/>
      <c r="F1" s="151"/>
      <c r="G1" s="151"/>
    </row>
    <row r="2" spans="1:7" x14ac:dyDescent="0.25">
      <c r="A2" s="151" t="s">
        <v>148</v>
      </c>
      <c r="B2" s="151"/>
      <c r="C2" s="151"/>
      <c r="D2" s="151"/>
      <c r="E2" s="151"/>
      <c r="F2" s="151"/>
      <c r="G2" s="151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152" t="s">
        <v>145</v>
      </c>
      <c r="B4" s="153"/>
      <c r="C4" s="153"/>
      <c r="D4" s="153"/>
      <c r="E4" s="153"/>
      <c r="F4" s="153"/>
      <c r="G4" s="154"/>
    </row>
    <row r="5" spans="1:7" x14ac:dyDescent="0.25">
      <c r="A5" s="155" t="s">
        <v>270</v>
      </c>
      <c r="B5" s="156"/>
      <c r="C5" s="156"/>
      <c r="D5" s="156"/>
      <c r="E5" s="156"/>
      <c r="F5" s="156"/>
      <c r="G5" s="157"/>
    </row>
    <row r="6" spans="1:7" x14ac:dyDescent="0.25">
      <c r="A6" s="158" t="s">
        <v>110</v>
      </c>
      <c r="B6" s="159"/>
      <c r="C6" s="159"/>
      <c r="D6" s="159"/>
      <c r="E6" s="159"/>
      <c r="F6" s="159"/>
      <c r="G6" s="160"/>
    </row>
    <row r="7" spans="1:7" x14ac:dyDescent="0.25">
      <c r="A7" s="148" t="s">
        <v>111</v>
      </c>
      <c r="B7" s="149"/>
      <c r="C7" s="149"/>
      <c r="D7" s="149"/>
      <c r="E7" s="149"/>
      <c r="F7" s="149"/>
      <c r="G7" s="150"/>
    </row>
    <row r="8" spans="1:7" x14ac:dyDescent="0.25">
      <c r="A8" s="143" t="s">
        <v>112</v>
      </c>
      <c r="B8" s="145" t="s">
        <v>149</v>
      </c>
      <c r="C8" s="141" t="s">
        <v>150</v>
      </c>
      <c r="D8" s="141" t="s">
        <v>155</v>
      </c>
      <c r="E8" s="141" t="s">
        <v>154</v>
      </c>
      <c r="F8" s="141">
        <v>2024</v>
      </c>
      <c r="G8" s="161" t="s">
        <v>271</v>
      </c>
    </row>
    <row r="9" spans="1:7" x14ac:dyDescent="0.25">
      <c r="A9" s="144"/>
      <c r="B9" s="146"/>
      <c r="C9" s="142"/>
      <c r="D9" s="142"/>
      <c r="E9" s="142"/>
      <c r="F9" s="142"/>
      <c r="G9" s="162"/>
    </row>
    <row r="10" spans="1:7" x14ac:dyDescent="0.25">
      <c r="A10" s="144"/>
      <c r="B10" s="146"/>
      <c r="C10" s="142"/>
      <c r="D10" s="142"/>
      <c r="E10" s="142"/>
      <c r="F10" s="142"/>
      <c r="G10" s="162"/>
    </row>
    <row r="11" spans="1:7" x14ac:dyDescent="0.25">
      <c r="A11" s="144"/>
      <c r="B11" s="147"/>
      <c r="C11" s="142"/>
      <c r="D11" s="142"/>
      <c r="E11" s="142"/>
      <c r="F11" s="142"/>
      <c r="G11" s="162"/>
    </row>
    <row r="12" spans="1:7" x14ac:dyDescent="0.25">
      <c r="A12" s="28"/>
      <c r="B12" s="29"/>
      <c r="C12" s="29"/>
      <c r="D12" s="29"/>
      <c r="E12" s="29"/>
      <c r="F12" s="29"/>
      <c r="G12" s="30"/>
    </row>
    <row r="13" spans="1:7" x14ac:dyDescent="0.25">
      <c r="A13" s="43" t="s">
        <v>115</v>
      </c>
      <c r="B13" s="139">
        <f>SUM(B15:B26)</f>
        <v>0</v>
      </c>
      <c r="C13" s="139">
        <f>SUM(C15:C26)</f>
        <v>0</v>
      </c>
      <c r="D13" s="139">
        <f t="shared" ref="D13:E13" si="0">SUM(D15:D26)</f>
        <v>0</v>
      </c>
      <c r="E13" s="139">
        <f t="shared" si="0"/>
        <v>0</v>
      </c>
      <c r="F13" s="139">
        <f>SUM(F15:F26)</f>
        <v>141218715.74000001</v>
      </c>
      <c r="G13" s="139">
        <f>SUM(G15:G26)</f>
        <v>250455699.9752</v>
      </c>
    </row>
    <row r="14" spans="1:7" x14ac:dyDescent="0.25">
      <c r="A14" s="44" t="s">
        <v>116</v>
      </c>
      <c r="B14" s="139"/>
      <c r="C14" s="139"/>
      <c r="D14" s="139"/>
      <c r="E14" s="139"/>
      <c r="F14" s="139"/>
      <c r="G14" s="139"/>
    </row>
    <row r="15" spans="1:7" x14ac:dyDescent="0.25">
      <c r="A15" s="31" t="s">
        <v>117</v>
      </c>
      <c r="B15" s="32">
        <v>0</v>
      </c>
      <c r="C15" s="33">
        <v>0</v>
      </c>
      <c r="D15" s="33">
        <v>0</v>
      </c>
      <c r="E15" s="33">
        <v>0</v>
      </c>
      <c r="F15" s="50">
        <f>'CONAC '!D9</f>
        <v>18065052.879999999</v>
      </c>
      <c r="G15" s="32">
        <f>'CONAC '!G9</f>
        <v>45800000</v>
      </c>
    </row>
    <row r="16" spans="1:7" x14ac:dyDescent="0.25">
      <c r="A16" s="31" t="s">
        <v>118</v>
      </c>
      <c r="B16" s="33">
        <v>0</v>
      </c>
      <c r="C16" s="33">
        <v>0</v>
      </c>
      <c r="D16" s="33">
        <v>0</v>
      </c>
      <c r="E16" s="33">
        <v>0</v>
      </c>
      <c r="F16" s="50">
        <v>0</v>
      </c>
      <c r="G16" s="33">
        <v>0</v>
      </c>
    </row>
    <row r="17" spans="1:9" x14ac:dyDescent="0.25">
      <c r="A17" s="31" t="s">
        <v>119</v>
      </c>
      <c r="B17" s="33">
        <v>0</v>
      </c>
      <c r="C17" s="33">
        <v>0</v>
      </c>
      <c r="D17" s="33">
        <v>0</v>
      </c>
      <c r="E17" s="33">
        <v>0</v>
      </c>
      <c r="F17" s="50">
        <f>'CONAC '!D20</f>
        <v>17392</v>
      </c>
      <c r="G17" s="33">
        <f>'CONAC '!G20</f>
        <v>0</v>
      </c>
    </row>
    <row r="18" spans="1:9" x14ac:dyDescent="0.25">
      <c r="A18" s="31" t="s">
        <v>120</v>
      </c>
      <c r="B18" s="33">
        <v>0</v>
      </c>
      <c r="C18" s="33">
        <v>0</v>
      </c>
      <c r="D18" s="33">
        <v>0</v>
      </c>
      <c r="E18" s="33">
        <v>0</v>
      </c>
      <c r="F18" s="50">
        <f>'CONAC '!D23</f>
        <v>6290635.5699999994</v>
      </c>
      <c r="G18" s="33">
        <f>'CONAC '!G23</f>
        <v>21996697.52</v>
      </c>
    </row>
    <row r="19" spans="1:9" x14ac:dyDescent="0.25">
      <c r="A19" s="31" t="s">
        <v>121</v>
      </c>
      <c r="B19" s="33">
        <v>0</v>
      </c>
      <c r="C19" s="33">
        <v>0</v>
      </c>
      <c r="D19" s="33">
        <v>0</v>
      </c>
      <c r="E19" s="33">
        <v>0</v>
      </c>
      <c r="F19" s="50">
        <f>'CONAC '!D32</f>
        <v>873867</v>
      </c>
      <c r="G19" s="33">
        <f>'CONAC '!G32</f>
        <v>1170517.92</v>
      </c>
    </row>
    <row r="20" spans="1:9" x14ac:dyDescent="0.25">
      <c r="A20" s="31" t="s">
        <v>122</v>
      </c>
      <c r="B20" s="33">
        <v>0</v>
      </c>
      <c r="C20" s="33">
        <v>0</v>
      </c>
      <c r="D20" s="33">
        <v>0</v>
      </c>
      <c r="E20" s="33">
        <v>0</v>
      </c>
      <c r="F20" s="50">
        <f>'CONAC '!D37</f>
        <v>14923387</v>
      </c>
      <c r="G20" s="33">
        <f>'CONAC '!G37</f>
        <v>27508000</v>
      </c>
    </row>
    <row r="21" spans="1:9" x14ac:dyDescent="0.25">
      <c r="A21" s="31" t="s">
        <v>151</v>
      </c>
      <c r="B21" s="33">
        <v>0</v>
      </c>
      <c r="C21" s="33">
        <v>0</v>
      </c>
      <c r="D21" s="33">
        <f t="shared" ref="C21:D26" si="1">+C21*1.03</f>
        <v>0</v>
      </c>
      <c r="E21" s="33">
        <v>0</v>
      </c>
      <c r="F21" s="50">
        <v>0</v>
      </c>
      <c r="G21" s="33">
        <f>SUM('CONAC '!I48)</f>
        <v>0</v>
      </c>
    </row>
    <row r="22" spans="1:9" x14ac:dyDescent="0.25">
      <c r="A22" s="31" t="s">
        <v>124</v>
      </c>
      <c r="B22" s="33">
        <v>0</v>
      </c>
      <c r="C22" s="33">
        <v>0</v>
      </c>
      <c r="D22" s="33">
        <v>0</v>
      </c>
      <c r="E22" s="33">
        <v>0</v>
      </c>
      <c r="F22" s="50">
        <f>'CONAC '!D53</f>
        <v>43034231.729999997</v>
      </c>
      <c r="G22" s="33">
        <f>'CONAC '!G53</f>
        <v>103980484.5352</v>
      </c>
    </row>
    <row r="23" spans="1:9" x14ac:dyDescent="0.25">
      <c r="A23" s="31" t="s">
        <v>125</v>
      </c>
      <c r="B23" s="33">
        <v>0</v>
      </c>
      <c r="C23" s="33">
        <v>0</v>
      </c>
      <c r="D23" s="33">
        <v>0</v>
      </c>
      <c r="E23" s="33">
        <v>0</v>
      </c>
      <c r="F23" s="33">
        <f>SUM('CONAC '!F56)</f>
        <v>0</v>
      </c>
      <c r="G23" s="33">
        <v>0</v>
      </c>
      <c r="I23" s="35"/>
    </row>
    <row r="24" spans="1:9" x14ac:dyDescent="0.25">
      <c r="A24" s="31" t="s">
        <v>126</v>
      </c>
      <c r="B24" s="33">
        <v>0</v>
      </c>
      <c r="C24" s="33">
        <v>0</v>
      </c>
      <c r="D24" s="33">
        <v>0</v>
      </c>
      <c r="E24" s="33">
        <v>0</v>
      </c>
      <c r="F24" s="33">
        <f>SUM('CONAC '!F58)</f>
        <v>0</v>
      </c>
      <c r="G24" s="33">
        <f>SUM('CONAC '!D58)</f>
        <v>0</v>
      </c>
      <c r="I24" s="36"/>
    </row>
    <row r="25" spans="1:9" x14ac:dyDescent="0.25">
      <c r="A25" s="31" t="s">
        <v>127</v>
      </c>
      <c r="B25" s="33">
        <v>0</v>
      </c>
      <c r="C25" s="33">
        <v>0</v>
      </c>
      <c r="D25" s="33">
        <v>0</v>
      </c>
      <c r="E25" s="33">
        <v>0</v>
      </c>
      <c r="F25" s="33">
        <f>'CONAC '!D55</f>
        <v>58014149.560000002</v>
      </c>
      <c r="G25" s="33">
        <f>'CONAC '!G55</f>
        <v>50000000</v>
      </c>
    </row>
    <row r="26" spans="1:9" x14ac:dyDescent="0.25">
      <c r="A26" s="31" t="s">
        <v>128</v>
      </c>
      <c r="B26" s="33">
        <v>0</v>
      </c>
      <c r="C26" s="33">
        <f t="shared" si="1"/>
        <v>0</v>
      </c>
      <c r="D26" s="33">
        <v>0</v>
      </c>
      <c r="E26" s="33">
        <v>0</v>
      </c>
      <c r="F26" s="33">
        <f>SUM('CONAC '!F51)</f>
        <v>0</v>
      </c>
      <c r="G26" s="33">
        <f>SUM('CONAC '!D51)</f>
        <v>0</v>
      </c>
      <c r="I26" s="35"/>
    </row>
    <row r="27" spans="1:9" x14ac:dyDescent="0.25">
      <c r="A27" s="37"/>
      <c r="B27" s="33"/>
      <c r="C27" s="33"/>
      <c r="D27" s="33"/>
      <c r="E27" s="33"/>
      <c r="F27" s="33"/>
      <c r="G27" s="33"/>
      <c r="I27" s="36"/>
    </row>
    <row r="28" spans="1:9" x14ac:dyDescent="0.25">
      <c r="A28" s="43" t="s">
        <v>129</v>
      </c>
      <c r="B28" s="45">
        <f>SUM(B29:B34)</f>
        <v>0</v>
      </c>
      <c r="C28" s="45">
        <f>SUM(C29:C34)</f>
        <v>0</v>
      </c>
      <c r="D28" s="45">
        <f t="shared" ref="D28:E28" si="2">SUM(D29:D34)</f>
        <v>0</v>
      </c>
      <c r="E28" s="45">
        <f t="shared" si="2"/>
        <v>0</v>
      </c>
      <c r="F28" s="45">
        <f>SUM(F29:F34)</f>
        <v>43250774</v>
      </c>
      <c r="G28" s="45">
        <f>SUM(G29:G34)</f>
        <v>150000000</v>
      </c>
    </row>
    <row r="29" spans="1:9" x14ac:dyDescent="0.25">
      <c r="A29" s="31" t="s">
        <v>130</v>
      </c>
      <c r="B29" s="33">
        <v>0</v>
      </c>
      <c r="C29" s="33">
        <v>0</v>
      </c>
      <c r="D29" s="33">
        <v>0</v>
      </c>
      <c r="E29" s="33">
        <v>0</v>
      </c>
      <c r="F29" s="33">
        <f>'CONAC '!D54</f>
        <v>43250774</v>
      </c>
      <c r="G29" s="33">
        <f>'CONAC '!G54</f>
        <v>150000000</v>
      </c>
    </row>
    <row r="30" spans="1:9" x14ac:dyDescent="0.25">
      <c r="A30" s="31" t="s">
        <v>131</v>
      </c>
      <c r="B30" s="33">
        <v>0</v>
      </c>
      <c r="C30" s="33">
        <f t="shared" ref="C30:D34" si="3">+B30*1.03</f>
        <v>0</v>
      </c>
      <c r="D30" s="33">
        <v>0</v>
      </c>
      <c r="E30" s="33">
        <v>0</v>
      </c>
      <c r="F30" s="33">
        <v>0</v>
      </c>
      <c r="G30" s="33">
        <v>0</v>
      </c>
    </row>
    <row r="31" spans="1:9" x14ac:dyDescent="0.25">
      <c r="A31" s="31" t="s">
        <v>132</v>
      </c>
      <c r="B31" s="33">
        <v>0</v>
      </c>
      <c r="C31" s="33">
        <f t="shared" si="3"/>
        <v>0</v>
      </c>
      <c r="D31" s="33">
        <f t="shared" si="3"/>
        <v>0</v>
      </c>
      <c r="E31" s="33">
        <v>0</v>
      </c>
      <c r="F31" s="33">
        <v>0</v>
      </c>
      <c r="G31" s="33">
        <v>0</v>
      </c>
    </row>
    <row r="32" spans="1:9" x14ac:dyDescent="0.25">
      <c r="A32" s="31" t="s">
        <v>152</v>
      </c>
      <c r="B32" s="136">
        <v>0</v>
      </c>
      <c r="C32" s="33">
        <f t="shared" si="3"/>
        <v>0</v>
      </c>
      <c r="D32" s="33">
        <f t="shared" si="3"/>
        <v>0</v>
      </c>
      <c r="E32" s="33">
        <v>0</v>
      </c>
      <c r="F32" s="136">
        <v>0</v>
      </c>
      <c r="G32" s="136">
        <v>0</v>
      </c>
    </row>
    <row r="33" spans="1:7" x14ac:dyDescent="0.25">
      <c r="A33" s="31" t="s">
        <v>153</v>
      </c>
      <c r="B33" s="136"/>
      <c r="C33" s="33">
        <f t="shared" si="3"/>
        <v>0</v>
      </c>
      <c r="D33" s="33">
        <f t="shared" si="3"/>
        <v>0</v>
      </c>
      <c r="E33" s="33">
        <v>0</v>
      </c>
      <c r="F33" s="136"/>
      <c r="G33" s="136"/>
    </row>
    <row r="34" spans="1:7" x14ac:dyDescent="0.25">
      <c r="A34" s="31" t="s">
        <v>135</v>
      </c>
      <c r="B34" s="33">
        <v>0</v>
      </c>
      <c r="C34" s="33">
        <f t="shared" si="3"/>
        <v>0</v>
      </c>
      <c r="D34" s="33">
        <f t="shared" si="3"/>
        <v>0</v>
      </c>
      <c r="E34" s="33">
        <v>0</v>
      </c>
      <c r="F34" s="33">
        <v>0</v>
      </c>
      <c r="G34" s="33">
        <v>0</v>
      </c>
    </row>
    <row r="35" spans="1:7" x14ac:dyDescent="0.25">
      <c r="A35" s="37"/>
      <c r="B35" s="33"/>
      <c r="C35" s="33"/>
      <c r="D35" s="33"/>
      <c r="E35" s="33"/>
      <c r="F35" s="33"/>
      <c r="G35" s="33"/>
    </row>
    <row r="36" spans="1:7" x14ac:dyDescent="0.25">
      <c r="A36" s="43" t="s">
        <v>136</v>
      </c>
      <c r="B36" s="45">
        <f>+B37</f>
        <v>0</v>
      </c>
      <c r="C36" s="45">
        <f>+C37</f>
        <v>0</v>
      </c>
      <c r="D36" s="45"/>
      <c r="E36" s="45"/>
      <c r="F36" s="45"/>
      <c r="G36" s="45">
        <f>+G37</f>
        <v>0</v>
      </c>
    </row>
    <row r="37" spans="1:7" x14ac:dyDescent="0.25">
      <c r="A37" s="31" t="s">
        <v>137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</row>
    <row r="38" spans="1:7" x14ac:dyDescent="0.25">
      <c r="A38" s="37"/>
      <c r="B38" s="41"/>
      <c r="C38" s="41"/>
      <c r="D38" s="41"/>
      <c r="E38" s="41"/>
      <c r="F38" s="41"/>
      <c r="G38" s="41"/>
    </row>
    <row r="39" spans="1:7" x14ac:dyDescent="0.25">
      <c r="A39" s="43" t="s">
        <v>138</v>
      </c>
      <c r="B39" s="47">
        <f>+B13+B28+B36</f>
        <v>0</v>
      </c>
      <c r="C39" s="47">
        <f>+C13+C28+C36</f>
        <v>0</v>
      </c>
      <c r="D39" s="47">
        <f t="shared" ref="D39:E39" si="4">+D13+D28+D36</f>
        <v>0</v>
      </c>
      <c r="E39" s="47">
        <f t="shared" si="4"/>
        <v>0</v>
      </c>
      <c r="F39" s="47">
        <f>+F13+F28+F36</f>
        <v>184469489.74000001</v>
      </c>
      <c r="G39" s="47">
        <f>+G13+G28+G36</f>
        <v>400455699.9752</v>
      </c>
    </row>
    <row r="40" spans="1:7" x14ac:dyDescent="0.25">
      <c r="A40" s="37"/>
      <c r="B40" s="41"/>
      <c r="C40" s="41"/>
      <c r="D40" s="41"/>
      <c r="E40" s="41"/>
      <c r="F40" s="41"/>
      <c r="G40" s="41"/>
    </row>
    <row r="41" spans="1:7" x14ac:dyDescent="0.25">
      <c r="A41" s="42" t="s">
        <v>139</v>
      </c>
      <c r="B41" s="33"/>
      <c r="C41" s="33"/>
      <c r="D41" s="33"/>
      <c r="E41" s="33"/>
      <c r="F41" s="33"/>
      <c r="G41" s="33"/>
    </row>
    <row r="42" spans="1:7" x14ac:dyDescent="0.25">
      <c r="A42" s="37" t="s">
        <v>140</v>
      </c>
      <c r="B42" s="136"/>
      <c r="C42" s="136"/>
      <c r="D42" s="136"/>
      <c r="E42" s="136"/>
      <c r="F42" s="136"/>
      <c r="G42" s="136"/>
    </row>
    <row r="43" spans="1:7" x14ac:dyDescent="0.25">
      <c r="A43" s="37" t="s">
        <v>141</v>
      </c>
      <c r="B43" s="136"/>
      <c r="C43" s="136"/>
      <c r="D43" s="136"/>
      <c r="E43" s="136"/>
      <c r="F43" s="136"/>
      <c r="G43" s="136"/>
    </row>
    <row r="44" spans="1:7" x14ac:dyDescent="0.25">
      <c r="A44" s="37" t="s">
        <v>142</v>
      </c>
      <c r="B44" s="136"/>
      <c r="C44" s="136"/>
      <c r="D44" s="136"/>
      <c r="E44" s="136"/>
      <c r="F44" s="136"/>
      <c r="G44" s="136"/>
    </row>
    <row r="45" spans="1:7" x14ac:dyDescent="0.25">
      <c r="A45" s="37" t="s">
        <v>143</v>
      </c>
      <c r="B45" s="136"/>
      <c r="C45" s="136"/>
      <c r="D45" s="136"/>
      <c r="E45" s="136"/>
      <c r="F45" s="136"/>
      <c r="G45" s="136"/>
    </row>
    <row r="46" spans="1:7" x14ac:dyDescent="0.25">
      <c r="A46" s="51" t="s">
        <v>144</v>
      </c>
      <c r="B46" s="52">
        <f>+B42+B44</f>
        <v>0</v>
      </c>
      <c r="C46" s="52">
        <f t="shared" ref="C46:E46" si="5">+C42+C44</f>
        <v>0</v>
      </c>
      <c r="D46" s="52">
        <f t="shared" si="5"/>
        <v>0</v>
      </c>
      <c r="E46" s="52">
        <f t="shared" si="5"/>
        <v>0</v>
      </c>
      <c r="F46" s="52"/>
      <c r="G46" s="52">
        <f>+G42+G44</f>
        <v>0</v>
      </c>
    </row>
    <row r="49" spans="7:7" x14ac:dyDescent="0.25">
      <c r="G49" s="1"/>
    </row>
  </sheetData>
  <mergeCells count="34">
    <mergeCell ref="A7:G7"/>
    <mergeCell ref="A1:G1"/>
    <mergeCell ref="A2:G2"/>
    <mergeCell ref="A4:G4"/>
    <mergeCell ref="A5:G5"/>
    <mergeCell ref="A6:G6"/>
    <mergeCell ref="A8:A11"/>
    <mergeCell ref="B8:B11"/>
    <mergeCell ref="C8:C11"/>
    <mergeCell ref="D8:D11"/>
    <mergeCell ref="E8:E11"/>
    <mergeCell ref="G8:G11"/>
    <mergeCell ref="B13:B14"/>
    <mergeCell ref="C13:C14"/>
    <mergeCell ref="D13:D14"/>
    <mergeCell ref="E13:E14"/>
    <mergeCell ref="F13:F14"/>
    <mergeCell ref="G13:G14"/>
    <mergeCell ref="F8:F11"/>
    <mergeCell ref="G44:G45"/>
    <mergeCell ref="B32:B33"/>
    <mergeCell ref="F32:F33"/>
    <mergeCell ref="G32:G33"/>
    <mergeCell ref="B42:B43"/>
    <mergeCell ref="C42:C43"/>
    <mergeCell ref="D42:D43"/>
    <mergeCell ref="E42:E43"/>
    <mergeCell ref="F42:F43"/>
    <mergeCell ref="G42:G43"/>
    <mergeCell ref="B44:B45"/>
    <mergeCell ref="C44:C45"/>
    <mergeCell ref="D44:D45"/>
    <mergeCell ref="E44:E45"/>
    <mergeCell ref="F44:F4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INGRESOS REALES </vt:lpstr>
      <vt:lpstr>CONAC  (2)</vt:lpstr>
      <vt:lpstr>INGRESOS REALES 2024</vt:lpstr>
      <vt:lpstr>CONAC </vt:lpstr>
      <vt:lpstr>LDF F7a)</vt:lpstr>
      <vt:lpstr>LDF-F7c)</vt:lpstr>
      <vt:lpstr>'CONAC '!Print_Titles</vt:lpstr>
      <vt:lpstr>'CONAC 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Villarreal</dc:creator>
  <cp:lastModifiedBy>Leticia Villarreal</cp:lastModifiedBy>
  <cp:lastPrinted>2024-11-21T18:05:57Z</cp:lastPrinted>
  <dcterms:created xsi:type="dcterms:W3CDTF">2019-11-12T22:54:40Z</dcterms:created>
  <dcterms:modified xsi:type="dcterms:W3CDTF">2025-05-10T18:45:25Z</dcterms:modified>
</cp:coreProperties>
</file>